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hidePivotFieldList="1" autoCompressPictures="0"/>
  <mc:AlternateContent xmlns:mc="http://schemas.openxmlformats.org/markup-compatibility/2006">
    <mc:Choice Requires="x15">
      <x15ac:absPath xmlns:x15ac="http://schemas.microsoft.com/office/spreadsheetml/2010/11/ac" url="https://southlanarkshire-my.sharepoint.com/personal/pfeechan_slc_ac_uk/Documents/Desktop/Paddy/Work files/Committee Meetings/"/>
    </mc:Choice>
  </mc:AlternateContent>
  <xr:revisionPtr revIDLastSave="0" documentId="8_{3C7CAD73-EB5B-4FB9-A477-34990256A246}" xr6:coauthVersionLast="47" xr6:coauthVersionMax="47" xr10:uidLastSave="{00000000-0000-0000-0000-000000000000}"/>
  <bookViews>
    <workbookView xWindow="-28920" yWindow="-120" windowWidth="29040" windowHeight="15720" firstSheet="3" activeTab="3" xr2:uid="{00000000-000D-0000-FFFF-FFFF00000000}"/>
  </bookViews>
  <sheets>
    <sheet name="Guidance" sheetId="18" state="hidden" r:id="rId1"/>
    <sheet name="ISO27001" sheetId="1" state="hidden" r:id="rId2"/>
    <sheet name="Security Posture (ISO27001)" sheetId="10" state="hidden" r:id="rId3"/>
    <sheet name="SLC Cyber Risk Register" sheetId="31" r:id="rId4"/>
    <sheet name="CRF Workbook" sheetId="23" r:id="rId5"/>
    <sheet name="Subcategory Summary" sheetId="19" r:id="rId6"/>
    <sheet name="Category Summary" sheetId="21" r:id="rId7"/>
    <sheet name="CRF Security Posture" sheetId="20" r:id="rId8"/>
    <sheet name="Completion Tracking" sheetId="24" r:id="rId9"/>
    <sheet name="Sub Risk Calc" sheetId="25" r:id="rId10"/>
    <sheet name="CRF Risk View" sheetId="26" r:id="rId11"/>
    <sheet name="Risk Summary" sheetId="27" r:id="rId12"/>
    <sheet name="Severity Matrix" sheetId="28" r:id="rId13"/>
    <sheet name="Likelihood and Impact Criteria" sheetId="29" r:id="rId14"/>
    <sheet name="Ten Steps" sheetId="22" state="hidden" r:id="rId15"/>
  </sheets>
  <externalReferences>
    <externalReference r:id="rId16"/>
    <externalReference r:id="rId17"/>
    <externalReference r:id="rId18"/>
  </externalReferences>
  <definedNames>
    <definedName name="_xlnm._FilterDatabase" localSheetId="4" hidden="1">'CRF Workbook'!$A$2:$N$606</definedName>
    <definedName name="_xlnm._FilterDatabase" localSheetId="1" hidden="1">'ISO27001'!$D$1:$D$214</definedName>
    <definedName name="_xlnm._FilterDatabase" localSheetId="5" hidden="1">'Subcategory Summary'!$E$1:$E$116</definedName>
    <definedName name="_Toc44695750" localSheetId="4">'CRF Workbook'!$E$12</definedName>
    <definedName name="_Toc44695785" localSheetId="4">'CRF Workbook'!$E$243</definedName>
    <definedName name="_Toc44695800" localSheetId="4">'CRF Workbook'!$E$325</definedName>
    <definedName name="Actual" localSheetId="0">(Guidance!PeriodInActual*('[1]Main Maturity Assessment'!$R1&gt;0))*Guidance!PeriodInPlan</definedName>
    <definedName name="Actual" localSheetId="5">('Subcategory Summary'!PeriodInActual*('Subcategory Summary'!$T1&gt;0))*'Subcategory Summary'!PeriodInPlan</definedName>
    <definedName name="Actual" localSheetId="14">('Ten Steps'!PeriodInActual*(#REF!&gt;0))*'Ten Steps'!PeriodInPlan</definedName>
    <definedName name="Actual">(PeriodInActual*('ISO27001'!$R1&gt;0))*PeriodInPlan</definedName>
    <definedName name="ActualBeyond" localSheetId="0">Guidance!PeriodInActual*('[1]Main Maturity Assessment'!$R1&gt;0)</definedName>
    <definedName name="ActualBeyond" localSheetId="5">'Subcategory Summary'!PeriodInActual*('Subcategory Summary'!$T1&gt;0)</definedName>
    <definedName name="ActualBeyond" localSheetId="14">'Ten Steps'!PeriodInActual*(#REF!&gt;0)</definedName>
    <definedName name="ActualBeyond">PeriodInActual*('ISO27001'!$R1&gt;0)</definedName>
    <definedName name="Impact">#REF!</definedName>
    <definedName name="Importance">#REF!</definedName>
    <definedName name="Location">#REF!</definedName>
    <definedName name="OLDSECTIONLOOKUP">OFFSET('[2]Base-Lookup'!$G$2,0,0,COUNTA('[2]Base-Lookup'!$G:$G)-1,1)</definedName>
    <definedName name="OLDSECTIONLOOKUP2">OFFSET(#REF!,0,0,COUNTA(#REF!)-1,1)</definedName>
    <definedName name="PercentComplete" localSheetId="0">Guidance!PercentCompleteBeyond*Guidance!PeriodInPlan</definedName>
    <definedName name="PercentComplete" localSheetId="5">'Subcategory Summary'!PercentCompleteBeyond*'Subcategory Summary'!PeriodInPlan</definedName>
    <definedName name="PercentComplete" localSheetId="14">'Ten Steps'!PercentCompleteBeyond*'Ten Steps'!PeriodInPlan</definedName>
    <definedName name="PercentComplete">PercentCompleteBeyond*PeriodInPlan</definedName>
    <definedName name="PercentCompleteBeyond" localSheetId="0">('[1]Main Maturity Assessment'!A$4=MEDIAN('[1]Main Maturity Assessment'!A$4,'[1]Main Maturity Assessment'!$R1,'[1]Main Maturity Assessment'!$R1+'[1]Main Maturity Assessment'!$S1)*('[1]Main Maturity Assessment'!$R1&gt;0))*(('[1]Main Maturity Assessment'!A$4&lt;(INT('[1]Main Maturity Assessment'!$R1+'[1]Main Maturity Assessment'!$S1*'[1]Main Maturity Assessment'!$T1)))+('[1]Main Maturity Assessment'!A$4='[1]Main Maturity Assessment'!$R1))*('[1]Main Maturity Assessment'!$T1&gt;0)</definedName>
    <definedName name="PercentCompleteBeyond" localSheetId="5">('Subcategory Summary'!A$4=MEDIAN('Subcategory Summary'!A$4,'Subcategory Summary'!$T1,'Subcategory Summary'!$T1+'Subcategory Summary'!$U1)*('Subcategory Summary'!$T1&gt;0))*(('Subcategory Summary'!A$4&lt;(INT('Subcategory Summary'!$T1+'Subcategory Summary'!$U1*'Subcategory Summary'!$V1)))+('Subcategory Summary'!A$4='Subcategory Summary'!$T1))*('Subcategory Summary'!$V1&gt;0)</definedName>
    <definedName name="PercentCompleteBeyond" localSheetId="14">(#REF!=MEDIAN(#REF!,#REF!,#REF!+#REF!)*(#REF!&gt;0))*((#REF!&lt;(INT(#REF!+#REF!*#REF!)))+(#REF!=#REF!))*(#REF!&gt;0)</definedName>
    <definedName name="PercentCompleteBeyond">('ISO27001'!A$4=MEDIAN('ISO27001'!A$4,'ISO27001'!$R1,'ISO27001'!$R1+'ISO27001'!$S1)*('ISO27001'!$R1&gt;0))*(('ISO27001'!A$4&lt;(INT('ISO27001'!$R1+'ISO27001'!$S1*'ISO27001'!$T1)))+('ISO27001'!A$4='ISO27001'!$R1))*('ISO27001'!$T1&gt;0)</definedName>
    <definedName name="period_selected" localSheetId="0">'[1]Main Maturity Assessment'!$U$2</definedName>
    <definedName name="period_selected" localSheetId="5">'Subcategory Summary'!$W$2</definedName>
    <definedName name="period_selected" localSheetId="14">#REF!</definedName>
    <definedName name="period_selected">'ISO27001'!$U$2</definedName>
    <definedName name="PeriodInActual" localSheetId="0">'[1]Main Maturity Assessment'!A$4=MEDIAN('[1]Main Maturity Assessment'!A$4,'[1]Main Maturity Assessment'!$R1,'[1]Main Maturity Assessment'!$R1+'[1]Main Maturity Assessment'!$S1-1)</definedName>
    <definedName name="PeriodInActual" localSheetId="5">'Subcategory Summary'!A$4=MEDIAN('Subcategory Summary'!A$4,'Subcategory Summary'!$T1,'Subcategory Summary'!$T1+'Subcategory Summary'!$U1-1)</definedName>
    <definedName name="PeriodInActual" localSheetId="14">#REF!=MEDIAN(#REF!,#REF!,#REF!+#REF!-1)</definedName>
    <definedName name="PeriodInActual">'ISO27001'!A$4=MEDIAN('ISO27001'!A$4,'ISO27001'!$R1,'ISO27001'!$R1+'ISO27001'!$S1-1)</definedName>
    <definedName name="PeriodInPlan" localSheetId="0">'[1]Main Maturity Assessment'!A$4=MEDIAN('[1]Main Maturity Assessment'!A$4,'[1]Main Maturity Assessment'!$P1,'[1]Main Maturity Assessment'!$P1+'[1]Main Maturity Assessment'!$Q1-1)</definedName>
    <definedName name="PeriodInPlan" localSheetId="5">'Subcategory Summary'!A$4=MEDIAN('Subcategory Summary'!A$4,'Subcategory Summary'!$R1,'Subcategory Summary'!$R1+'Subcategory Summary'!$S1-1)</definedName>
    <definedName name="PeriodInPlan" localSheetId="14">#REF!=MEDIAN(#REF!,#REF!,#REF!+#REF!-1)</definedName>
    <definedName name="PeriodInPlan">'ISO27001'!A$4=MEDIAN('ISO27001'!A$4,'ISO27001'!$P1,'ISO27001'!$P1+'ISO27001'!$Q1-1)</definedName>
    <definedName name="Plan" localSheetId="0">Guidance!PeriodInPlan*('[1]Main Maturity Assessment'!$P1&gt;0)</definedName>
    <definedName name="Plan" localSheetId="5">'Subcategory Summary'!PeriodInPlan*('Subcategory Summary'!$R1&gt;0)</definedName>
    <definedName name="Plan" localSheetId="14">'Ten Steps'!PeriodInPlan*(#REF!&gt;0)</definedName>
    <definedName name="Plan">PeriodInPlan*('ISO27001'!$P1&gt;0)</definedName>
    <definedName name="_xlnm.Print_Titles" localSheetId="1">'ISO27001'!$3:$4</definedName>
    <definedName name="_xlnm.Print_Titles" localSheetId="5">'Subcategory Summary'!$3:$4</definedName>
    <definedName name="Prioirty">#REF!</definedName>
    <definedName name="REPORTDATESASSTRINGS">[3]Lookup!$D$104:$D$109</definedName>
    <definedName name="SECTIONLOOKUP">OFFSET(#REF!,0,0,COUNTA(#REF!)-1,1)</definedName>
    <definedName name="STANDARDLOOKUP">'[3]Base-Lookup'!$N$31:$AE$39</definedName>
    <definedName name="Status">#REF!</definedName>
    <definedName name="TitleRegion..BO60" localSheetId="0">'[1]Main Maturity Assessment'!#REF!</definedName>
    <definedName name="TitleRegion..BO60" localSheetId="5">'Subcategory Summary'!#REF!</definedName>
    <definedName name="TitleRegion..BO60" localSheetId="14">#REF!</definedName>
    <definedName name="TitleRegion..BO60">'ISO27001'!#REF!</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31" l="1"/>
  <c r="T8" i="31" s="1"/>
  <c r="R15" i="31"/>
  <c r="T15" i="31" s="1"/>
  <c r="L15" i="31"/>
  <c r="M15" i="31" s="1"/>
  <c r="J15" i="31"/>
  <c r="K15" i="31" s="1"/>
  <c r="I15" i="31"/>
  <c r="G15" i="31"/>
  <c r="R14" i="31"/>
  <c r="T14" i="31" s="1"/>
  <c r="L14" i="31"/>
  <c r="M14" i="31" s="1"/>
  <c r="J14" i="31"/>
  <c r="K14" i="31" s="1"/>
  <c r="G14" i="31"/>
  <c r="I14" i="31" s="1"/>
  <c r="R13" i="31"/>
  <c r="T13" i="31" s="1"/>
  <c r="L13" i="31"/>
  <c r="M13" i="31" s="1"/>
  <c r="J13" i="31"/>
  <c r="K13" i="31" s="1"/>
  <c r="G13" i="31"/>
  <c r="I13" i="31" s="1"/>
  <c r="R12" i="31"/>
  <c r="T12" i="31" s="1"/>
  <c r="L12" i="31"/>
  <c r="M12" i="31" s="1"/>
  <c r="J12" i="31"/>
  <c r="K12" i="31" s="1"/>
  <c r="G12" i="31"/>
  <c r="I12" i="31" s="1"/>
  <c r="R11" i="31"/>
  <c r="T11" i="31" s="1"/>
  <c r="L11" i="31"/>
  <c r="M11" i="31" s="1"/>
  <c r="J11" i="31"/>
  <c r="K11" i="31" s="1"/>
  <c r="G11" i="31"/>
  <c r="I11" i="31" s="1"/>
  <c r="R10" i="31"/>
  <c r="T10" i="31" s="1"/>
  <c r="L10" i="31"/>
  <c r="M10" i="31" s="1"/>
  <c r="J10" i="31"/>
  <c r="K10" i="31" s="1"/>
  <c r="G10" i="31"/>
  <c r="I10" i="31" s="1"/>
  <c r="R9" i="31"/>
  <c r="T9" i="31" s="1"/>
  <c r="L9" i="31"/>
  <c r="M9" i="31" s="1"/>
  <c r="J9" i="31"/>
  <c r="K9" i="31" s="1"/>
  <c r="G9" i="31"/>
  <c r="I9" i="31" s="1"/>
  <c r="L8" i="31"/>
  <c r="M8" i="31" s="1"/>
  <c r="J8" i="31"/>
  <c r="K8" i="31" s="1"/>
  <c r="I8" i="31"/>
  <c r="R7" i="31"/>
  <c r="T7" i="31" s="1"/>
  <c r="L7" i="31"/>
  <c r="M7" i="31" s="1"/>
  <c r="J7" i="31"/>
  <c r="K7" i="31" s="1"/>
  <c r="G7" i="31"/>
  <c r="I7" i="31" s="1"/>
  <c r="R6" i="31"/>
  <c r="T6" i="31" s="1"/>
  <c r="L6" i="31"/>
  <c r="M6" i="31" s="1"/>
  <c r="J6" i="31"/>
  <c r="K6" i="31" s="1"/>
  <c r="G6" i="31"/>
  <c r="I6" i="31" s="1"/>
  <c r="C18" i="27" l="1"/>
  <c r="C16" i="27"/>
  <c r="C15" i="27"/>
  <c r="C14" i="27"/>
  <c r="C13" i="27"/>
  <c r="C12" i="27"/>
  <c r="C11" i="27"/>
  <c r="C10" i="27"/>
  <c r="C9" i="27"/>
  <c r="C8" i="27"/>
  <c r="C6" i="27"/>
  <c r="C5" i="27"/>
  <c r="C4" i="27"/>
  <c r="C3" i="27"/>
  <c r="C2" i="27"/>
  <c r="O104" i="25"/>
  <c r="O103" i="25"/>
  <c r="O102" i="25"/>
  <c r="O101" i="25"/>
  <c r="O100" i="25"/>
  <c r="O99" i="25"/>
  <c r="O92" i="25"/>
  <c r="O91" i="25"/>
  <c r="O89" i="25"/>
  <c r="O88" i="25"/>
  <c r="O87" i="25"/>
  <c r="O86" i="25"/>
  <c r="O85" i="25"/>
  <c r="O84" i="25"/>
  <c r="O83" i="25"/>
  <c r="O82" i="25"/>
  <c r="O81" i="25"/>
  <c r="O79" i="25" s="1"/>
  <c r="O80" i="25"/>
  <c r="O78" i="25"/>
  <c r="O77" i="25"/>
  <c r="O76" i="25"/>
  <c r="O75" i="25"/>
  <c r="O74" i="25"/>
  <c r="O73" i="25"/>
  <c r="O72" i="25"/>
  <c r="O71" i="25"/>
  <c r="O70" i="25"/>
  <c r="O69" i="25"/>
  <c r="O67" i="25"/>
  <c r="O66" i="25"/>
  <c r="O65" i="25"/>
  <c r="O64" i="25"/>
  <c r="O62" i="25"/>
  <c r="O61" i="25"/>
  <c r="O59" i="25"/>
  <c r="O58" i="25"/>
  <c r="O57" i="25" s="1"/>
  <c r="O56" i="25"/>
  <c r="O55" i="25"/>
  <c r="O54" i="25"/>
  <c r="O53" i="25"/>
  <c r="O51" i="25"/>
  <c r="O50" i="25"/>
  <c r="O49" i="25"/>
  <c r="O48" i="25"/>
  <c r="O46" i="25"/>
  <c r="O45" i="25" s="1"/>
  <c r="O38" i="25"/>
  <c r="O37" i="25"/>
  <c r="O36" i="25"/>
  <c r="O35" i="25"/>
  <c r="O34" i="25"/>
  <c r="O33" i="25"/>
  <c r="O31" i="25"/>
  <c r="O30" i="25"/>
  <c r="O29" i="25"/>
  <c r="O28" i="25" s="1"/>
  <c r="O27" i="25"/>
  <c r="O26" i="25"/>
  <c r="O23" i="25" s="1"/>
  <c r="O25" i="25"/>
  <c r="O24" i="25"/>
  <c r="O22" i="25"/>
  <c r="O21" i="25"/>
  <c r="O20" i="25"/>
  <c r="O19" i="25"/>
  <c r="O18" i="25" s="1"/>
  <c r="O17" i="25"/>
  <c r="O16" i="25"/>
  <c r="O15" i="25"/>
  <c r="O14" i="25"/>
  <c r="O13" i="25"/>
  <c r="O12" i="25"/>
  <c r="K20" i="26"/>
  <c r="K19" i="26"/>
  <c r="O97" i="25" s="1"/>
  <c r="K18" i="26"/>
  <c r="K17" i="26"/>
  <c r="K16" i="26"/>
  <c r="K15" i="26"/>
  <c r="K14" i="26"/>
  <c r="K13" i="26"/>
  <c r="K12" i="26"/>
  <c r="K11" i="26"/>
  <c r="K10" i="26"/>
  <c r="K9" i="26"/>
  <c r="O41" i="25" s="1"/>
  <c r="K8" i="26"/>
  <c r="K7" i="26"/>
  <c r="K6" i="26"/>
  <c r="K5" i="26"/>
  <c r="K4" i="26"/>
  <c r="K97" i="25"/>
  <c r="K94" i="25"/>
  <c r="H93" i="25"/>
  <c r="G93" i="25"/>
  <c r="K93" i="25" s="1"/>
  <c r="K92" i="25"/>
  <c r="K91" i="25"/>
  <c r="O90" i="25"/>
  <c r="H90" i="25"/>
  <c r="G90" i="25"/>
  <c r="K89" i="25"/>
  <c r="K86" i="25"/>
  <c r="K85" i="25"/>
  <c r="K83" i="25"/>
  <c r="K81" i="25"/>
  <c r="H79" i="25"/>
  <c r="G79" i="25"/>
  <c r="K79" i="25" s="1"/>
  <c r="K44" i="25"/>
  <c r="K43" i="25"/>
  <c r="K42" i="25"/>
  <c r="K41" i="25"/>
  <c r="M40" i="25"/>
  <c r="N40" i="25" s="1"/>
  <c r="Q40" i="25" s="1"/>
  <c r="L40" i="25"/>
  <c r="K40" i="25"/>
  <c r="K39" i="25"/>
  <c r="H39" i="25"/>
  <c r="G39" i="25"/>
  <c r="K16" i="25"/>
  <c r="H56" i="19"/>
  <c r="H113" i="19"/>
  <c r="H112" i="19"/>
  <c r="H111" i="19"/>
  <c r="H110" i="19"/>
  <c r="H109" i="19"/>
  <c r="H108" i="19"/>
  <c r="H105" i="19"/>
  <c r="H104" i="19"/>
  <c r="H103" i="19"/>
  <c r="H102" i="19"/>
  <c r="H99" i="19"/>
  <c r="H98" i="19"/>
  <c r="H95" i="19"/>
  <c r="H94" i="19"/>
  <c r="H93" i="19"/>
  <c r="H92" i="19"/>
  <c r="H91" i="19"/>
  <c r="H90" i="19"/>
  <c r="H89" i="19"/>
  <c r="H88" i="19"/>
  <c r="H87" i="19"/>
  <c r="H86" i="19"/>
  <c r="G84" i="19"/>
  <c r="G72" i="19"/>
  <c r="H83" i="19"/>
  <c r="H82" i="19"/>
  <c r="H81" i="19"/>
  <c r="H80" i="19"/>
  <c r="H79" i="19"/>
  <c r="H78" i="19"/>
  <c r="H77" i="19"/>
  <c r="H76" i="19"/>
  <c r="H75" i="19"/>
  <c r="H74" i="19"/>
  <c r="H71" i="19"/>
  <c r="H70" i="19"/>
  <c r="H69" i="19"/>
  <c r="H68" i="19"/>
  <c r="H65" i="19"/>
  <c r="H64" i="19"/>
  <c r="H61" i="19"/>
  <c r="H60" i="19"/>
  <c r="H57" i="19"/>
  <c r="H55" i="19"/>
  <c r="H54" i="19"/>
  <c r="H51" i="19"/>
  <c r="H50" i="19"/>
  <c r="H49" i="19"/>
  <c r="H48" i="19"/>
  <c r="H45" i="19"/>
  <c r="H42" i="19"/>
  <c r="H41" i="19"/>
  <c r="H40" i="19"/>
  <c r="H39" i="19"/>
  <c r="H38" i="19"/>
  <c r="H35" i="19"/>
  <c r="H34" i="19"/>
  <c r="H33" i="19"/>
  <c r="H32" i="19"/>
  <c r="H31" i="19"/>
  <c r="H30" i="19"/>
  <c r="H27" i="19"/>
  <c r="H26" i="19"/>
  <c r="H25" i="19"/>
  <c r="H22" i="19"/>
  <c r="H21" i="19"/>
  <c r="H20" i="19"/>
  <c r="H19" i="19"/>
  <c r="H16" i="19"/>
  <c r="H15" i="19"/>
  <c r="H14" i="19"/>
  <c r="H13" i="19"/>
  <c r="H10" i="19"/>
  <c r="H9" i="19"/>
  <c r="H8" i="19"/>
  <c r="H7" i="19"/>
  <c r="H6" i="19"/>
  <c r="K6" i="19" s="1"/>
  <c r="H104" i="25"/>
  <c r="G104" i="25"/>
  <c r="F104" i="25"/>
  <c r="G102" i="25"/>
  <c r="E101" i="25"/>
  <c r="C100" i="25"/>
  <c r="E102" i="25"/>
  <c r="G99" i="25"/>
  <c r="C104" i="25"/>
  <c r="D102" i="25"/>
  <c r="F99" i="25"/>
  <c r="C99" i="25"/>
  <c r="F101" i="25"/>
  <c r="E104" i="25"/>
  <c r="F102" i="25"/>
  <c r="D101" i="25"/>
  <c r="H99" i="25"/>
  <c r="C101" i="25"/>
  <c r="H100" i="25"/>
  <c r="G101" i="25"/>
  <c r="D100" i="25"/>
  <c r="D104" i="25"/>
  <c r="H103" i="25"/>
  <c r="C102" i="25"/>
  <c r="G100" i="25"/>
  <c r="E99" i="25"/>
  <c r="F103" i="25"/>
  <c r="H101" i="25"/>
  <c r="F100" i="25"/>
  <c r="D99" i="25"/>
  <c r="D103" i="25"/>
  <c r="E100" i="25"/>
  <c r="H102" i="25"/>
  <c r="F97" i="25"/>
  <c r="D95" i="25"/>
  <c r="D97" i="25"/>
  <c r="C95" i="25"/>
  <c r="F96" i="25"/>
  <c r="F94" i="25"/>
  <c r="E96" i="25"/>
  <c r="E94" i="25"/>
  <c r="D96" i="25"/>
  <c r="D94" i="25"/>
  <c r="C96" i="25"/>
  <c r="C94" i="25"/>
  <c r="F95" i="25"/>
  <c r="E95" i="25"/>
  <c r="C92" i="25"/>
  <c r="D91" i="25"/>
  <c r="F91" i="25"/>
  <c r="E91" i="25"/>
  <c r="D92" i="25"/>
  <c r="C91" i="25"/>
  <c r="F92" i="25"/>
  <c r="E92" i="25"/>
  <c r="F89" i="25"/>
  <c r="F87" i="25"/>
  <c r="F85" i="25"/>
  <c r="F83" i="25"/>
  <c r="F81" i="25"/>
  <c r="E89" i="25"/>
  <c r="E87" i="25"/>
  <c r="E85" i="25"/>
  <c r="E83" i="25"/>
  <c r="E81" i="25"/>
  <c r="D89" i="25"/>
  <c r="D87" i="25"/>
  <c r="D85" i="25"/>
  <c r="D83" i="25"/>
  <c r="D81" i="25"/>
  <c r="C82" i="25"/>
  <c r="C89" i="25"/>
  <c r="C87" i="25"/>
  <c r="C85" i="25"/>
  <c r="C83" i="25"/>
  <c r="C81" i="25"/>
  <c r="C80" i="25"/>
  <c r="F88" i="25"/>
  <c r="F86" i="25"/>
  <c r="F84" i="25"/>
  <c r="F82" i="25"/>
  <c r="F80" i="25"/>
  <c r="C84" i="25"/>
  <c r="E88" i="25"/>
  <c r="E86" i="25"/>
  <c r="E84" i="25"/>
  <c r="E82" i="25"/>
  <c r="E80" i="25"/>
  <c r="C86" i="25"/>
  <c r="D88" i="25"/>
  <c r="D86" i="25"/>
  <c r="D84" i="25"/>
  <c r="D82" i="25"/>
  <c r="D80" i="25"/>
  <c r="C88" i="25"/>
  <c r="H78" i="25"/>
  <c r="F77" i="25"/>
  <c r="D76" i="25"/>
  <c r="H74" i="25"/>
  <c r="F73" i="25"/>
  <c r="D72" i="25"/>
  <c r="H70" i="25"/>
  <c r="F69" i="25"/>
  <c r="G75" i="25"/>
  <c r="C69" i="25"/>
  <c r="G73" i="25"/>
  <c r="G78" i="25"/>
  <c r="E77" i="25"/>
  <c r="C76" i="25"/>
  <c r="G74" i="25"/>
  <c r="E73" i="25"/>
  <c r="C72" i="25"/>
  <c r="G70" i="25"/>
  <c r="E69" i="25"/>
  <c r="E74" i="25"/>
  <c r="E70" i="25"/>
  <c r="C75" i="25"/>
  <c r="F78" i="25"/>
  <c r="D77" i="25"/>
  <c r="H75" i="25"/>
  <c r="F74" i="25"/>
  <c r="D73" i="25"/>
  <c r="H71" i="25"/>
  <c r="F70" i="25"/>
  <c r="D69" i="25"/>
  <c r="C77" i="25"/>
  <c r="G71" i="25"/>
  <c r="E76" i="25"/>
  <c r="G69" i="25"/>
  <c r="E78" i="25"/>
  <c r="C73" i="25"/>
  <c r="D78" i="25"/>
  <c r="H76" i="25"/>
  <c r="F75" i="25"/>
  <c r="D74" i="25"/>
  <c r="H72" i="25"/>
  <c r="F71" i="25"/>
  <c r="D70" i="25"/>
  <c r="F76" i="25"/>
  <c r="F72" i="25"/>
  <c r="H69" i="25"/>
  <c r="E72" i="25"/>
  <c r="C78" i="25"/>
  <c r="G76" i="25"/>
  <c r="E75" i="25"/>
  <c r="C74" i="25"/>
  <c r="G72" i="25"/>
  <c r="E71" i="25"/>
  <c r="C70" i="25"/>
  <c r="H77" i="25"/>
  <c r="D75" i="25"/>
  <c r="H73" i="25"/>
  <c r="D71" i="25"/>
  <c r="G77" i="25"/>
  <c r="C71" i="25"/>
  <c r="H67" i="25"/>
  <c r="F66" i="25"/>
  <c r="D65" i="25"/>
  <c r="C65" i="25"/>
  <c r="H66" i="25"/>
  <c r="G67" i="25"/>
  <c r="F67" i="25"/>
  <c r="D66" i="25"/>
  <c r="H64" i="25"/>
  <c r="E67" i="25"/>
  <c r="C66" i="25"/>
  <c r="G64" i="25"/>
  <c r="E64" i="25"/>
  <c r="F65" i="25"/>
  <c r="D67" i="25"/>
  <c r="H65" i="25"/>
  <c r="F64" i="25"/>
  <c r="G65" i="25"/>
  <c r="D64" i="25"/>
  <c r="C67" i="25"/>
  <c r="G66" i="25"/>
  <c r="E65" i="25"/>
  <c r="C64" i="25"/>
  <c r="E66" i="25"/>
  <c r="F62" i="25"/>
  <c r="D61" i="25"/>
  <c r="E62" i="25"/>
  <c r="C61" i="25"/>
  <c r="D62" i="25"/>
  <c r="C62" i="25"/>
  <c r="H61" i="25"/>
  <c r="F61" i="25"/>
  <c r="E61" i="25"/>
  <c r="G61" i="25"/>
  <c r="H62" i="25"/>
  <c r="G62" i="25"/>
  <c r="F58" i="25"/>
  <c r="G59" i="25"/>
  <c r="E58" i="25"/>
  <c r="F59" i="25"/>
  <c r="D58" i="25"/>
  <c r="E59" i="25"/>
  <c r="C58" i="25"/>
  <c r="H58" i="25"/>
  <c r="D59" i="25"/>
  <c r="C59" i="25"/>
  <c r="G58" i="25"/>
  <c r="H59" i="25"/>
  <c r="H56" i="25"/>
  <c r="D55" i="25"/>
  <c r="G53" i="25"/>
  <c r="D53" i="25"/>
  <c r="C53" i="25"/>
  <c r="G56" i="25"/>
  <c r="H54" i="25"/>
  <c r="F53" i="25"/>
  <c r="F54" i="25"/>
  <c r="E54" i="25"/>
  <c r="F56" i="25"/>
  <c r="G54" i="25"/>
  <c r="E53" i="25"/>
  <c r="E56" i="25"/>
  <c r="D56" i="25"/>
  <c r="C56" i="25"/>
  <c r="D54" i="25"/>
  <c r="H55" i="25"/>
  <c r="C54" i="25"/>
  <c r="F55" i="25"/>
  <c r="H53" i="25"/>
  <c r="H51" i="25"/>
  <c r="F51" i="25"/>
  <c r="D50" i="25"/>
  <c r="H48" i="25"/>
  <c r="H49" i="25"/>
  <c r="F48" i="25"/>
  <c r="G49" i="25"/>
  <c r="G51" i="25"/>
  <c r="E51" i="25"/>
  <c r="C50" i="25"/>
  <c r="G48" i="25"/>
  <c r="D51" i="25"/>
  <c r="E48" i="25"/>
  <c r="C49" i="25"/>
  <c r="C51" i="25"/>
  <c r="H50" i="25"/>
  <c r="F49" i="25"/>
  <c r="D48" i="25"/>
  <c r="G50" i="25"/>
  <c r="E49" i="25"/>
  <c r="C48" i="25"/>
  <c r="F50" i="25"/>
  <c r="D49" i="25"/>
  <c r="E50" i="25"/>
  <c r="H46" i="25"/>
  <c r="G46" i="25"/>
  <c r="F46" i="25"/>
  <c r="E46" i="25"/>
  <c r="D46" i="25"/>
  <c r="C46" i="25"/>
  <c r="D44" i="25"/>
  <c r="F41" i="25"/>
  <c r="D41" i="25"/>
  <c r="D40" i="25"/>
  <c r="E44" i="25"/>
  <c r="C44" i="25"/>
  <c r="E41" i="25"/>
  <c r="F43" i="25"/>
  <c r="C42" i="25"/>
  <c r="D43" i="25"/>
  <c r="C41" i="25"/>
  <c r="E40" i="25"/>
  <c r="D42" i="25"/>
  <c r="C40" i="25"/>
  <c r="F42" i="25"/>
  <c r="F40" i="25"/>
  <c r="E42" i="25"/>
  <c r="F44" i="25"/>
  <c r="H38" i="25"/>
  <c r="F37" i="25"/>
  <c r="D36" i="25"/>
  <c r="H34" i="25"/>
  <c r="F33" i="25"/>
  <c r="G38" i="25"/>
  <c r="E37" i="25"/>
  <c r="C36" i="25"/>
  <c r="G34" i="25"/>
  <c r="E33" i="25"/>
  <c r="F38" i="25"/>
  <c r="D37" i="25"/>
  <c r="H35" i="25"/>
  <c r="F34" i="25"/>
  <c r="D33" i="25"/>
  <c r="C35" i="25"/>
  <c r="E38" i="25"/>
  <c r="C37" i="25"/>
  <c r="G35" i="25"/>
  <c r="E34" i="25"/>
  <c r="C33" i="25"/>
  <c r="D38" i="25"/>
  <c r="H36" i="25"/>
  <c r="F35" i="25"/>
  <c r="D34" i="25"/>
  <c r="E36" i="25"/>
  <c r="C38" i="25"/>
  <c r="G36" i="25"/>
  <c r="E35" i="25"/>
  <c r="C34" i="25"/>
  <c r="G37" i="25"/>
  <c r="H37" i="25"/>
  <c r="F36" i="25"/>
  <c r="D35" i="25"/>
  <c r="H33" i="25"/>
  <c r="G33" i="25"/>
  <c r="G31" i="25"/>
  <c r="E30" i="25"/>
  <c r="C29" i="25"/>
  <c r="F31" i="25"/>
  <c r="D30" i="25"/>
  <c r="E31" i="25"/>
  <c r="C30" i="25"/>
  <c r="F30" i="25"/>
  <c r="D31" i="25"/>
  <c r="H29" i="25"/>
  <c r="H31" i="25"/>
  <c r="C31" i="25"/>
  <c r="G29" i="25"/>
  <c r="E29" i="25"/>
  <c r="H30" i="25"/>
  <c r="F29" i="25"/>
  <c r="G30" i="25"/>
  <c r="D29" i="25"/>
  <c r="E27" i="25"/>
  <c r="C26" i="25"/>
  <c r="F24" i="25"/>
  <c r="C27" i="25"/>
  <c r="G25" i="25"/>
  <c r="F25" i="25"/>
  <c r="D26" i="25"/>
  <c r="D27" i="25"/>
  <c r="H25" i="25"/>
  <c r="D24" i="25"/>
  <c r="H26" i="25"/>
  <c r="H24" i="25"/>
  <c r="G26" i="25"/>
  <c r="E25" i="25"/>
  <c r="H27" i="25"/>
  <c r="F26" i="25"/>
  <c r="D25" i="25"/>
  <c r="G27" i="25"/>
  <c r="E26" i="25"/>
  <c r="C25" i="25"/>
  <c r="F27" i="25"/>
  <c r="H22" i="25"/>
  <c r="F21" i="25"/>
  <c r="D20" i="25"/>
  <c r="E20" i="25"/>
  <c r="G22" i="25"/>
  <c r="E21" i="25"/>
  <c r="C20" i="25"/>
  <c r="C19" i="25"/>
  <c r="F22" i="25"/>
  <c r="D21" i="25"/>
  <c r="H19" i="25"/>
  <c r="G21" i="25"/>
  <c r="E22" i="25"/>
  <c r="C21" i="25"/>
  <c r="G19" i="25"/>
  <c r="F20" i="25"/>
  <c r="D22" i="25"/>
  <c r="H20" i="25"/>
  <c r="F19" i="25"/>
  <c r="D19" i="25"/>
  <c r="C22" i="25"/>
  <c r="G20" i="25"/>
  <c r="E19" i="25"/>
  <c r="H21" i="25"/>
  <c r="H17" i="25"/>
  <c r="D16" i="25"/>
  <c r="H14" i="25"/>
  <c r="F13" i="25"/>
  <c r="G17" i="25"/>
  <c r="C16" i="25"/>
  <c r="G14" i="25"/>
  <c r="E13" i="25"/>
  <c r="E16" i="25"/>
  <c r="F17" i="25"/>
  <c r="H15" i="25"/>
  <c r="F14" i="25"/>
  <c r="D13" i="25"/>
  <c r="G13" i="25"/>
  <c r="E17" i="25"/>
  <c r="G15" i="25"/>
  <c r="E14" i="25"/>
  <c r="D17" i="25"/>
  <c r="F15" i="25"/>
  <c r="D14" i="25"/>
  <c r="D15" i="25"/>
  <c r="C17" i="25"/>
  <c r="E15" i="25"/>
  <c r="C14" i="25"/>
  <c r="F16" i="25"/>
  <c r="H13" i="25"/>
  <c r="C15" i="25"/>
  <c r="C13" i="25"/>
  <c r="O43" i="25" l="1"/>
  <c r="O44" i="25"/>
  <c r="O42" i="25"/>
  <c r="C7" i="27"/>
  <c r="O40" i="25"/>
  <c r="R40" i="25" s="1"/>
  <c r="O94" i="25"/>
  <c r="O95" i="25"/>
  <c r="O96" i="25"/>
  <c r="C17" i="27"/>
  <c r="I19" i="25"/>
  <c r="C18" i="25"/>
  <c r="K51" i="25"/>
  <c r="H12" i="25"/>
  <c r="C45" i="25"/>
  <c r="I17" i="25"/>
  <c r="J33" i="25"/>
  <c r="E32" i="25"/>
  <c r="K26" i="25"/>
  <c r="L26" i="25" s="1"/>
  <c r="M26" i="25" s="1"/>
  <c r="N26" i="25" s="1"/>
  <c r="Q26" i="25" s="1"/>
  <c r="R26" i="25" s="1"/>
  <c r="K37" i="25"/>
  <c r="J41" i="25"/>
  <c r="L41" i="25" s="1"/>
  <c r="M41" i="25" s="1"/>
  <c r="N41" i="25" s="1"/>
  <c r="Q41" i="25" s="1"/>
  <c r="R41" i="25" s="1"/>
  <c r="J46" i="25"/>
  <c r="E45" i="25"/>
  <c r="D18" i="25"/>
  <c r="J20" i="25"/>
  <c r="J27" i="25"/>
  <c r="J36" i="25"/>
  <c r="J50" i="25"/>
  <c r="D52" i="25"/>
  <c r="F63" i="25"/>
  <c r="C12" i="25"/>
  <c r="I13" i="25"/>
  <c r="I16" i="25"/>
  <c r="E18" i="25"/>
  <c r="J19" i="25"/>
  <c r="D12" i="25"/>
  <c r="F18" i="25"/>
  <c r="J22" i="25"/>
  <c r="H23" i="25"/>
  <c r="K27" i="25"/>
  <c r="I30" i="25"/>
  <c r="J35" i="25"/>
  <c r="I48" i="25"/>
  <c r="L48" i="25" s="1"/>
  <c r="M48" i="25" s="1"/>
  <c r="N48" i="25" s="1"/>
  <c r="C47" i="25"/>
  <c r="H52" i="25"/>
  <c r="J73" i="25"/>
  <c r="L73" i="25" s="1"/>
  <c r="M73" i="25" s="1"/>
  <c r="N73" i="25" s="1"/>
  <c r="J17" i="25"/>
  <c r="D23" i="25"/>
  <c r="C39" i="25"/>
  <c r="F79" i="25"/>
  <c r="E12" i="25"/>
  <c r="J14" i="25"/>
  <c r="J13" i="25"/>
  <c r="J15" i="25"/>
  <c r="J16" i="25"/>
  <c r="K17" i="25"/>
  <c r="G18" i="25"/>
  <c r="K19" i="25"/>
  <c r="K35" i="25"/>
  <c r="D47" i="25"/>
  <c r="I14" i="25"/>
  <c r="C23" i="25"/>
  <c r="J53" i="25"/>
  <c r="E52" i="25"/>
  <c r="F12" i="25"/>
  <c r="H18" i="25"/>
  <c r="G23" i="25"/>
  <c r="K25" i="25"/>
  <c r="G28" i="25"/>
  <c r="K29" i="25"/>
  <c r="K38" i="25"/>
  <c r="J43" i="25"/>
  <c r="L43" i="25" s="1"/>
  <c r="M43" i="25" s="1"/>
  <c r="N43" i="25" s="1"/>
  <c r="Q43" i="25" s="1"/>
  <c r="R43" i="25" s="1"/>
  <c r="F47" i="25"/>
  <c r="J101" i="25"/>
  <c r="J104" i="25"/>
  <c r="I15" i="25"/>
  <c r="J49" i="25"/>
  <c r="K64" i="25"/>
  <c r="G63" i="25"/>
  <c r="G12" i="25"/>
  <c r="K13" i="25"/>
  <c r="K14" i="25"/>
  <c r="K15" i="25"/>
  <c r="J21" i="25"/>
  <c r="H28" i="25"/>
  <c r="C32" i="25"/>
  <c r="J54" i="25"/>
  <c r="E68" i="25"/>
  <c r="J69" i="25"/>
  <c r="I84" i="25"/>
  <c r="F90" i="25"/>
  <c r="K20" i="25"/>
  <c r="K21" i="25"/>
  <c r="K22" i="25"/>
  <c r="J25" i="25"/>
  <c r="E23" i="25"/>
  <c r="D32" i="25"/>
  <c r="J34" i="25"/>
  <c r="K36" i="25"/>
  <c r="D45" i="25"/>
  <c r="E47" i="25"/>
  <c r="K49" i="25"/>
  <c r="K50" i="25"/>
  <c r="F52" i="25"/>
  <c r="J72" i="25"/>
  <c r="K101" i="25"/>
  <c r="C28" i="25"/>
  <c r="F32" i="25"/>
  <c r="K34" i="25"/>
  <c r="D39" i="25"/>
  <c r="I42" i="25"/>
  <c r="F45" i="25"/>
  <c r="G47" i="25"/>
  <c r="I51" i="25"/>
  <c r="K58" i="25"/>
  <c r="L58" i="25" s="1"/>
  <c r="M58" i="25" s="1"/>
  <c r="N58" i="25" s="1"/>
  <c r="G57" i="25"/>
  <c r="J62" i="25"/>
  <c r="J71" i="25"/>
  <c r="C98" i="25"/>
  <c r="D28" i="25"/>
  <c r="J30" i="25"/>
  <c r="J31" i="25"/>
  <c r="G32" i="25"/>
  <c r="K33" i="25"/>
  <c r="E39" i="25"/>
  <c r="G45" i="25"/>
  <c r="K46" i="25"/>
  <c r="H47" i="25"/>
  <c r="K54" i="25"/>
  <c r="H57" i="25"/>
  <c r="D60" i="25"/>
  <c r="I70" i="25"/>
  <c r="J99" i="25"/>
  <c r="E98" i="25"/>
  <c r="I20" i="25"/>
  <c r="I21" i="25"/>
  <c r="I22" i="25"/>
  <c r="J24" i="25"/>
  <c r="L24" i="25" s="1"/>
  <c r="M24" i="25" s="1"/>
  <c r="N24" i="25" s="1"/>
  <c r="Q24" i="25" s="1"/>
  <c r="R24" i="25" s="1"/>
  <c r="F23" i="25"/>
  <c r="E28" i="25"/>
  <c r="J29" i="25"/>
  <c r="H32" i="25"/>
  <c r="J38" i="25"/>
  <c r="F39" i="25"/>
  <c r="J42" i="25"/>
  <c r="H45" i="25"/>
  <c r="I49" i="25"/>
  <c r="I50" i="25"/>
  <c r="J51" i="25"/>
  <c r="J61" i="25"/>
  <c r="E60" i="25"/>
  <c r="K65" i="25"/>
  <c r="D93" i="25"/>
  <c r="F28" i="25"/>
  <c r="K30" i="25"/>
  <c r="K31" i="25"/>
  <c r="J37" i="25"/>
  <c r="J44" i="25"/>
  <c r="L44" i="25" s="1"/>
  <c r="M44" i="25" s="1"/>
  <c r="N44" i="25" s="1"/>
  <c r="C52" i="25"/>
  <c r="K61" i="25"/>
  <c r="G60" i="25"/>
  <c r="I69" i="25"/>
  <c r="C68" i="25"/>
  <c r="K74" i="25"/>
  <c r="J82" i="25"/>
  <c r="L82" i="25" s="1"/>
  <c r="M82" i="25" s="1"/>
  <c r="N82" i="25" s="1"/>
  <c r="J94" i="25"/>
  <c r="E93" i="25"/>
  <c r="J102" i="25"/>
  <c r="K53" i="25"/>
  <c r="G52" i="25"/>
  <c r="J56" i="25"/>
  <c r="L56" i="25" s="1"/>
  <c r="M56" i="25" s="1"/>
  <c r="N56" i="25" s="1"/>
  <c r="F60" i="25"/>
  <c r="K62" i="25"/>
  <c r="H63" i="25"/>
  <c r="D68" i="25"/>
  <c r="J70" i="25"/>
  <c r="K72" i="25"/>
  <c r="J77" i="25"/>
  <c r="J84" i="25"/>
  <c r="J87" i="25"/>
  <c r="L87" i="25" s="1"/>
  <c r="M87" i="25" s="1"/>
  <c r="N87" i="25" s="1"/>
  <c r="Q87" i="25" s="1"/>
  <c r="R87" i="25" s="1"/>
  <c r="J89" i="25"/>
  <c r="F93" i="25"/>
  <c r="D98" i="25"/>
  <c r="J100" i="25"/>
  <c r="K102" i="25"/>
  <c r="C57" i="25"/>
  <c r="H60" i="25"/>
  <c r="J67" i="25"/>
  <c r="F68" i="25"/>
  <c r="I74" i="25"/>
  <c r="I75" i="25"/>
  <c r="L75" i="25" s="1"/>
  <c r="M75" i="25" s="1"/>
  <c r="N75" i="25" s="1"/>
  <c r="J76" i="25"/>
  <c r="L76" i="25" s="1"/>
  <c r="M76" i="25" s="1"/>
  <c r="N76" i="25" s="1"/>
  <c r="Q76" i="25" s="1"/>
  <c r="R76" i="25" s="1"/>
  <c r="K77" i="25"/>
  <c r="J81" i="25"/>
  <c r="L81" i="25" s="1"/>
  <c r="M81" i="25" s="1"/>
  <c r="N81" i="25" s="1"/>
  <c r="Q81" i="25" s="1"/>
  <c r="R81" i="25" s="1"/>
  <c r="J92" i="25"/>
  <c r="L92" i="25" s="1"/>
  <c r="M92" i="25" s="1"/>
  <c r="N92" i="25" s="1"/>
  <c r="Q92" i="25" s="1"/>
  <c r="R92" i="25" s="1"/>
  <c r="J96" i="25"/>
  <c r="L96" i="25" s="1"/>
  <c r="M96" i="25" s="1"/>
  <c r="N96" i="25" s="1"/>
  <c r="F98" i="25"/>
  <c r="K100" i="25"/>
  <c r="J55" i="25"/>
  <c r="D57" i="25"/>
  <c r="C63" i="25"/>
  <c r="J66" i="25"/>
  <c r="G68" i="25"/>
  <c r="C79" i="25"/>
  <c r="I80" i="25"/>
  <c r="J83" i="25"/>
  <c r="L83" i="25" s="1"/>
  <c r="M83" i="25" s="1"/>
  <c r="N83" i="25" s="1"/>
  <c r="Q83" i="25" s="1"/>
  <c r="R83" i="25" s="1"/>
  <c r="I85" i="25"/>
  <c r="J86" i="25"/>
  <c r="L86" i="25" s="1"/>
  <c r="M86" i="25" s="1"/>
  <c r="N86" i="25" s="1"/>
  <c r="Q86" i="25" s="1"/>
  <c r="R86" i="25" s="1"/>
  <c r="C90" i="25"/>
  <c r="I95" i="25"/>
  <c r="G98" i="25"/>
  <c r="K99" i="25"/>
  <c r="K104" i="25"/>
  <c r="K55" i="25"/>
  <c r="E57" i="25"/>
  <c r="K59" i="25"/>
  <c r="L59" i="25" s="1"/>
  <c r="M59" i="25" s="1"/>
  <c r="N59" i="25" s="1"/>
  <c r="Q59" i="25" s="1"/>
  <c r="R59" i="25" s="1"/>
  <c r="D63" i="25"/>
  <c r="J65" i="25"/>
  <c r="K67" i="25"/>
  <c r="H68" i="25"/>
  <c r="I72" i="25"/>
  <c r="J74" i="25"/>
  <c r="D79" i="25"/>
  <c r="J88" i="25"/>
  <c r="L88" i="25" s="1"/>
  <c r="M88" i="25" s="1"/>
  <c r="N88" i="25" s="1"/>
  <c r="Q88" i="25" s="1"/>
  <c r="R88" i="25" s="1"/>
  <c r="D90" i="25"/>
  <c r="I97" i="25"/>
  <c r="H98" i="25"/>
  <c r="J103" i="25"/>
  <c r="F57" i="25"/>
  <c r="C60" i="25"/>
  <c r="E63" i="25"/>
  <c r="J64" i="25"/>
  <c r="K66" i="25"/>
  <c r="I71" i="25"/>
  <c r="I78" i="25"/>
  <c r="L78" i="25" s="1"/>
  <c r="M78" i="25" s="1"/>
  <c r="N78" i="25" s="1"/>
  <c r="Q78" i="25" s="1"/>
  <c r="R78" i="25" s="1"/>
  <c r="E79" i="25"/>
  <c r="J80" i="25"/>
  <c r="J85" i="25"/>
  <c r="J91" i="25"/>
  <c r="L91" i="25" s="1"/>
  <c r="M91" i="25" s="1"/>
  <c r="N91" i="25" s="1"/>
  <c r="Q91" i="25" s="1"/>
  <c r="R91" i="25" s="1"/>
  <c r="E90" i="25"/>
  <c r="C93" i="25"/>
  <c r="I93" i="25" s="1"/>
  <c r="I94" i="25"/>
  <c r="J95" i="25"/>
  <c r="J97" i="25"/>
  <c r="K103" i="25"/>
  <c r="O32" i="25"/>
  <c r="O63" i="25"/>
  <c r="O93" i="25"/>
  <c r="O52" i="25"/>
  <c r="O47" i="25"/>
  <c r="O60" i="25"/>
  <c r="O68" i="25"/>
  <c r="K90" i="25"/>
  <c r="O98" i="25"/>
  <c r="H84" i="19"/>
  <c r="K113" i="19"/>
  <c r="K112" i="19"/>
  <c r="K111" i="19"/>
  <c r="K110" i="19"/>
  <c r="K109" i="19"/>
  <c r="K108" i="19"/>
  <c r="K105" i="19"/>
  <c r="K104" i="19"/>
  <c r="K103" i="19"/>
  <c r="K102" i="19"/>
  <c r="K99" i="19"/>
  <c r="K98" i="19"/>
  <c r="K95" i="19"/>
  <c r="K94" i="19"/>
  <c r="K93" i="19"/>
  <c r="K92" i="19"/>
  <c r="K91" i="19"/>
  <c r="K90" i="19"/>
  <c r="K89" i="19"/>
  <c r="K88" i="19"/>
  <c r="K87" i="19"/>
  <c r="K86" i="19"/>
  <c r="K83" i="19"/>
  <c r="K82" i="19"/>
  <c r="K81" i="19"/>
  <c r="K80" i="19"/>
  <c r="K79" i="19"/>
  <c r="K78" i="19"/>
  <c r="K77" i="19"/>
  <c r="K76" i="19"/>
  <c r="K75" i="19"/>
  <c r="K74" i="19"/>
  <c r="K71" i="19"/>
  <c r="K70" i="19"/>
  <c r="K69" i="19"/>
  <c r="K68" i="19"/>
  <c r="K65" i="19"/>
  <c r="K64" i="19"/>
  <c r="K61" i="19"/>
  <c r="K60" i="19"/>
  <c r="K57" i="19"/>
  <c r="K56" i="19"/>
  <c r="K55" i="19"/>
  <c r="K54" i="19"/>
  <c r="K51" i="19"/>
  <c r="K50" i="19"/>
  <c r="K49" i="19"/>
  <c r="K48" i="19"/>
  <c r="K45" i="19"/>
  <c r="K42" i="19"/>
  <c r="K41" i="19"/>
  <c r="K40" i="19"/>
  <c r="K39" i="19"/>
  <c r="K38" i="19"/>
  <c r="K35" i="19"/>
  <c r="K34" i="19"/>
  <c r="K33" i="19"/>
  <c r="K32" i="19"/>
  <c r="K31" i="19"/>
  <c r="K30" i="19"/>
  <c r="K27" i="19"/>
  <c r="K26" i="19"/>
  <c r="K25" i="19"/>
  <c r="K22" i="19"/>
  <c r="K21" i="19"/>
  <c r="K20" i="19"/>
  <c r="K19" i="19"/>
  <c r="K16" i="19"/>
  <c r="K15" i="19"/>
  <c r="K14" i="19"/>
  <c r="K13" i="19"/>
  <c r="K10" i="19"/>
  <c r="K9" i="19"/>
  <c r="K8" i="19"/>
  <c r="K7" i="19"/>
  <c r="D12" i="22"/>
  <c r="E12" i="22"/>
  <c r="F12" i="22"/>
  <c r="D11" i="22"/>
  <c r="E11" i="22"/>
  <c r="F11" i="22"/>
  <c r="D10" i="22"/>
  <c r="E10" i="22"/>
  <c r="F10" i="22"/>
  <c r="D9" i="22"/>
  <c r="E9" i="22"/>
  <c r="F9" i="22"/>
  <c r="D7" i="22"/>
  <c r="E7" i="22"/>
  <c r="H7" i="22" s="1"/>
  <c r="F7" i="22"/>
  <c r="D5" i="22"/>
  <c r="E5" i="22"/>
  <c r="F5" i="22"/>
  <c r="D4" i="22"/>
  <c r="E4" i="22"/>
  <c r="F4" i="22"/>
  <c r="O39" i="25" l="1"/>
  <c r="P40" i="25"/>
  <c r="H10" i="22"/>
  <c r="H9" i="22"/>
  <c r="L29" i="25"/>
  <c r="M29" i="25" s="1"/>
  <c r="N29" i="25" s="1"/>
  <c r="P29" i="25" s="1"/>
  <c r="P26" i="25"/>
  <c r="P41" i="25"/>
  <c r="K45" i="25"/>
  <c r="P43" i="25"/>
  <c r="K52" i="25"/>
  <c r="I63" i="25"/>
  <c r="L22" i="25"/>
  <c r="M22" i="25" s="1"/>
  <c r="N22" i="25" s="1"/>
  <c r="Q22" i="25" s="1"/>
  <c r="R22" i="25" s="1"/>
  <c r="J32" i="25"/>
  <c r="J60" i="25"/>
  <c r="K68" i="25"/>
  <c r="L97" i="25"/>
  <c r="M97" i="25" s="1"/>
  <c r="N97" i="25" s="1"/>
  <c r="L51" i="25"/>
  <c r="M51" i="25" s="1"/>
  <c r="N51" i="25" s="1"/>
  <c r="Q51" i="25" s="1"/>
  <c r="R51" i="25" s="1"/>
  <c r="L34" i="25"/>
  <c r="M34" i="25" s="1"/>
  <c r="N34" i="25" s="1"/>
  <c r="Q34" i="25" s="1"/>
  <c r="R34" i="25" s="1"/>
  <c r="L27" i="25"/>
  <c r="M27" i="25" s="1"/>
  <c r="N27" i="25" s="1"/>
  <c r="Q27" i="25" s="1"/>
  <c r="R27" i="25" s="1"/>
  <c r="L89" i="25"/>
  <c r="M89" i="25" s="1"/>
  <c r="N89" i="25" s="1"/>
  <c r="Q89" i="25" s="1"/>
  <c r="R89" i="25" s="1"/>
  <c r="L99" i="25"/>
  <c r="M99" i="25" s="1"/>
  <c r="N99" i="25" s="1"/>
  <c r="Q99" i="25" s="1"/>
  <c r="R99" i="25" s="1"/>
  <c r="L61" i="25"/>
  <c r="M61" i="25" s="1"/>
  <c r="N61" i="25" s="1"/>
  <c r="P61" i="25" s="1"/>
  <c r="L31" i="25"/>
  <c r="M31" i="25" s="1"/>
  <c r="N31" i="25" s="1"/>
  <c r="P31" i="25" s="1"/>
  <c r="J98" i="25"/>
  <c r="P92" i="25"/>
  <c r="J90" i="25"/>
  <c r="L90" i="25" s="1"/>
  <c r="M90" i="25" s="1"/>
  <c r="N90" i="25" s="1"/>
  <c r="Q90" i="25" s="1"/>
  <c r="R90" i="25" s="1"/>
  <c r="P91" i="25"/>
  <c r="P87" i="25"/>
  <c r="L84" i="25"/>
  <c r="M84" i="25" s="1"/>
  <c r="N84" i="25" s="1"/>
  <c r="Q84" i="25" s="1"/>
  <c r="R84" i="25" s="1"/>
  <c r="P81" i="25"/>
  <c r="P78" i="25"/>
  <c r="L64" i="25"/>
  <c r="M64" i="25" s="1"/>
  <c r="N64" i="25" s="1"/>
  <c r="Q64" i="25" s="1"/>
  <c r="R64" i="25" s="1"/>
  <c r="K60" i="25"/>
  <c r="L46" i="25"/>
  <c r="M46" i="25" s="1"/>
  <c r="N46" i="25" s="1"/>
  <c r="Q46" i="25" s="1"/>
  <c r="R46" i="25" s="1"/>
  <c r="J45" i="25"/>
  <c r="L33" i="25"/>
  <c r="M33" i="25" s="1"/>
  <c r="N33" i="25" s="1"/>
  <c r="Q33" i="25" s="1"/>
  <c r="R33" i="25" s="1"/>
  <c r="L35" i="25"/>
  <c r="M35" i="25" s="1"/>
  <c r="N35" i="25" s="1"/>
  <c r="Q35" i="25" s="1"/>
  <c r="R35" i="25" s="1"/>
  <c r="L37" i="25"/>
  <c r="M37" i="25" s="1"/>
  <c r="N37" i="25" s="1"/>
  <c r="Q37" i="25" s="1"/>
  <c r="R37" i="25" s="1"/>
  <c r="P24" i="25"/>
  <c r="L25" i="25"/>
  <c r="M25" i="25" s="1"/>
  <c r="N25" i="25" s="1"/>
  <c r="Q25" i="25" s="1"/>
  <c r="R25" i="25" s="1"/>
  <c r="L21" i="25"/>
  <c r="M21" i="25" s="1"/>
  <c r="N21" i="25" s="1"/>
  <c r="Q21" i="25" s="1"/>
  <c r="R21" i="25" s="1"/>
  <c r="J18" i="25"/>
  <c r="I12" i="25"/>
  <c r="L100" i="25"/>
  <c r="M100" i="25" s="1"/>
  <c r="N100" i="25" s="1"/>
  <c r="L102" i="25"/>
  <c r="M102" i="25" s="1"/>
  <c r="N102" i="25" s="1"/>
  <c r="K47" i="25"/>
  <c r="K18" i="25"/>
  <c r="I39" i="25"/>
  <c r="L30" i="25"/>
  <c r="M30" i="25" s="1"/>
  <c r="N30" i="25" s="1"/>
  <c r="L16" i="25"/>
  <c r="M16" i="25" s="1"/>
  <c r="N16" i="25" s="1"/>
  <c r="J63" i="25"/>
  <c r="L85" i="25"/>
  <c r="M85" i="25" s="1"/>
  <c r="N85" i="25" s="1"/>
  <c r="L55" i="25"/>
  <c r="M55" i="25" s="1"/>
  <c r="N55" i="25" s="1"/>
  <c r="P75" i="25"/>
  <c r="Q75" i="25"/>
  <c r="R75" i="25" s="1"/>
  <c r="J93" i="25"/>
  <c r="L93" i="25" s="1"/>
  <c r="M93" i="25" s="1"/>
  <c r="N93" i="25" s="1"/>
  <c r="L38" i="25"/>
  <c r="M38" i="25" s="1"/>
  <c r="N38" i="25" s="1"/>
  <c r="L20" i="25"/>
  <c r="M20" i="25" s="1"/>
  <c r="N20" i="25" s="1"/>
  <c r="J23" i="25"/>
  <c r="J68" i="25"/>
  <c r="K12" i="25"/>
  <c r="J52" i="25"/>
  <c r="L13" i="25"/>
  <c r="M13" i="25" s="1"/>
  <c r="N13" i="25" s="1"/>
  <c r="L17" i="25"/>
  <c r="M17" i="25" s="1"/>
  <c r="N17" i="25" s="1"/>
  <c r="L74" i="25"/>
  <c r="M74" i="25" s="1"/>
  <c r="N74" i="25" s="1"/>
  <c r="L42" i="25"/>
  <c r="M42" i="25" s="1"/>
  <c r="N42" i="25" s="1"/>
  <c r="K63" i="25"/>
  <c r="L80" i="25"/>
  <c r="M80" i="25" s="1"/>
  <c r="N80" i="25" s="1"/>
  <c r="Q29" i="25"/>
  <c r="R29" i="25" s="1"/>
  <c r="J39" i="25"/>
  <c r="Q73" i="25"/>
  <c r="R73" i="25" s="1"/>
  <c r="P73" i="25"/>
  <c r="P83" i="25"/>
  <c r="P86" i="25"/>
  <c r="J79" i="25"/>
  <c r="L103" i="25"/>
  <c r="M103" i="25" s="1"/>
  <c r="N103" i="25" s="1"/>
  <c r="I79" i="25"/>
  <c r="Q96" i="25"/>
  <c r="R96" i="25" s="1"/>
  <c r="P96" i="25"/>
  <c r="L67" i="25"/>
  <c r="M67" i="25" s="1"/>
  <c r="N67" i="25" s="1"/>
  <c r="L50" i="25"/>
  <c r="M50" i="25" s="1"/>
  <c r="N50" i="25" s="1"/>
  <c r="J28" i="25"/>
  <c r="L70" i="25"/>
  <c r="M70" i="25" s="1"/>
  <c r="N70" i="25" s="1"/>
  <c r="L62" i="25"/>
  <c r="M62" i="25" s="1"/>
  <c r="N62" i="25" s="1"/>
  <c r="J47" i="25"/>
  <c r="K28" i="25"/>
  <c r="L14" i="25"/>
  <c r="M14" i="25" s="1"/>
  <c r="N14" i="25" s="1"/>
  <c r="L101" i="25"/>
  <c r="M101" i="25" s="1"/>
  <c r="N101" i="25" s="1"/>
  <c r="P44" i="25"/>
  <c r="Q44" i="25"/>
  <c r="R44" i="25" s="1"/>
  <c r="L54" i="25"/>
  <c r="M54" i="25" s="1"/>
  <c r="N54" i="25" s="1"/>
  <c r="K98" i="25"/>
  <c r="Q56" i="25"/>
  <c r="R56" i="25" s="1"/>
  <c r="P56" i="25"/>
  <c r="I68" i="25"/>
  <c r="L49" i="25"/>
  <c r="M49" i="25" s="1"/>
  <c r="N49" i="25" s="1"/>
  <c r="K32" i="25"/>
  <c r="K57" i="25"/>
  <c r="L57" i="25" s="1"/>
  <c r="M57" i="25" s="1"/>
  <c r="N57" i="25" s="1"/>
  <c r="L15" i="25"/>
  <c r="M15" i="25" s="1"/>
  <c r="N15" i="25" s="1"/>
  <c r="I47" i="25"/>
  <c r="I18" i="25"/>
  <c r="L53" i="25"/>
  <c r="M53" i="25" s="1"/>
  <c r="N53" i="25" s="1"/>
  <c r="L72" i="25"/>
  <c r="M72" i="25" s="1"/>
  <c r="N72" i="25" s="1"/>
  <c r="P82" i="25"/>
  <c r="Q82" i="25"/>
  <c r="R82" i="25" s="1"/>
  <c r="P76" i="25"/>
  <c r="P59" i="25"/>
  <c r="P88" i="25"/>
  <c r="L94" i="25"/>
  <c r="M94" i="25" s="1"/>
  <c r="N94" i="25" s="1"/>
  <c r="L71" i="25"/>
  <c r="M71" i="25" s="1"/>
  <c r="N71" i="25" s="1"/>
  <c r="L65" i="25"/>
  <c r="M65" i="25" s="1"/>
  <c r="N65" i="25" s="1"/>
  <c r="L95" i="25"/>
  <c r="M95" i="25" s="1"/>
  <c r="N95" i="25" s="1"/>
  <c r="L66" i="25"/>
  <c r="M66" i="25" s="1"/>
  <c r="N66" i="25" s="1"/>
  <c r="L77" i="25"/>
  <c r="M77" i="25" s="1"/>
  <c r="N77" i="25" s="1"/>
  <c r="L69" i="25"/>
  <c r="M69" i="25" s="1"/>
  <c r="N69" i="25" s="1"/>
  <c r="P58" i="25"/>
  <c r="Q58" i="25"/>
  <c r="R58" i="25" s="1"/>
  <c r="I28" i="25"/>
  <c r="L104" i="25"/>
  <c r="M104" i="25" s="1"/>
  <c r="N104" i="25" s="1"/>
  <c r="K23" i="25"/>
  <c r="J12" i="25"/>
  <c r="Q48" i="25"/>
  <c r="R48" i="25" s="1"/>
  <c r="P48" i="25"/>
  <c r="L36" i="25"/>
  <c r="M36" i="25" s="1"/>
  <c r="N36" i="25" s="1"/>
  <c r="L19" i="25"/>
  <c r="M19" i="25" s="1"/>
  <c r="N19" i="25" s="1"/>
  <c r="H5" i="22"/>
  <c r="H11" i="22"/>
  <c r="H4" i="22"/>
  <c r="H12" i="22"/>
  <c r="BV8" i="19"/>
  <c r="BV17" i="19"/>
  <c r="P89" i="25" l="1"/>
  <c r="P22" i="25"/>
  <c r="P64" i="25"/>
  <c r="L45" i="25"/>
  <c r="M45" i="25" s="1"/>
  <c r="N45" i="25" s="1"/>
  <c r="Q45" i="25" s="1"/>
  <c r="R45" i="25" s="1"/>
  <c r="P27" i="25"/>
  <c r="L52" i="25"/>
  <c r="M52" i="25" s="1"/>
  <c r="N52" i="25" s="1"/>
  <c r="Q52" i="25" s="1"/>
  <c r="R52" i="25" s="1"/>
  <c r="L60" i="25"/>
  <c r="M60" i="25" s="1"/>
  <c r="N60" i="25" s="1"/>
  <c r="Q60" i="25" s="1"/>
  <c r="R60" i="25" s="1"/>
  <c r="P51" i="25"/>
  <c r="L32" i="25"/>
  <c r="M32" i="25" s="1"/>
  <c r="N32" i="25" s="1"/>
  <c r="Q32" i="25" s="1"/>
  <c r="R32" i="25" s="1"/>
  <c r="Q31" i="25"/>
  <c r="R31" i="25" s="1"/>
  <c r="P34" i="25"/>
  <c r="P37" i="25"/>
  <c r="L18" i="25"/>
  <c r="M18" i="25" s="1"/>
  <c r="N18" i="25" s="1"/>
  <c r="Q18" i="25" s="1"/>
  <c r="R18" i="25" s="1"/>
  <c r="Q61" i="25"/>
  <c r="R61" i="25" s="1"/>
  <c r="Q97" i="25"/>
  <c r="R97" i="25" s="1"/>
  <c r="P97" i="25"/>
  <c r="P33" i="25"/>
  <c r="P35" i="25"/>
  <c r="P99" i="25"/>
  <c r="L12" i="25"/>
  <c r="M12" i="25" s="1"/>
  <c r="N12" i="25" s="1"/>
  <c r="Q12" i="25" s="1"/>
  <c r="R12" i="25" s="1"/>
  <c r="L98" i="25"/>
  <c r="M98" i="25" s="1"/>
  <c r="N98" i="25" s="1"/>
  <c r="P98" i="25" s="1"/>
  <c r="N20" i="26" s="1"/>
  <c r="D18" i="27" s="1"/>
  <c r="E18" i="27" s="1"/>
  <c r="P90" i="25"/>
  <c r="N18" i="26" s="1"/>
  <c r="D16" i="27" s="1"/>
  <c r="E16" i="27" s="1"/>
  <c r="P84" i="25"/>
  <c r="L68" i="25"/>
  <c r="M68" i="25" s="1"/>
  <c r="N68" i="25" s="1"/>
  <c r="L63" i="25"/>
  <c r="M63" i="25" s="1"/>
  <c r="N63" i="25" s="1"/>
  <c r="Q63" i="25" s="1"/>
  <c r="R63" i="25" s="1"/>
  <c r="L47" i="25"/>
  <c r="M47" i="25" s="1"/>
  <c r="N47" i="25" s="1"/>
  <c r="Q47" i="25" s="1"/>
  <c r="R47" i="25" s="1"/>
  <c r="P46" i="25"/>
  <c r="L28" i="25"/>
  <c r="M28" i="25" s="1"/>
  <c r="N28" i="25" s="1"/>
  <c r="Q28" i="25" s="1"/>
  <c r="R28" i="25" s="1"/>
  <c r="P25" i="25"/>
  <c r="P21" i="25"/>
  <c r="Q93" i="25"/>
  <c r="R93" i="25" s="1"/>
  <c r="P93" i="25"/>
  <c r="N19" i="26" s="1"/>
  <c r="D17" i="27" s="1"/>
  <c r="E17" i="27" s="1"/>
  <c r="Q72" i="25"/>
  <c r="R72" i="25" s="1"/>
  <c r="P72" i="25"/>
  <c r="Q62" i="25"/>
  <c r="R62" i="25" s="1"/>
  <c r="P62" i="25"/>
  <c r="Q38" i="25"/>
  <c r="R38" i="25" s="1"/>
  <c r="P38" i="25"/>
  <c r="Q104" i="25"/>
  <c r="R104" i="25" s="1"/>
  <c r="P104" i="25"/>
  <c r="P66" i="25"/>
  <c r="Q66" i="25"/>
  <c r="R66" i="25" s="1"/>
  <c r="Q15" i="25"/>
  <c r="R15" i="25" s="1"/>
  <c r="P15" i="25"/>
  <c r="Q70" i="25"/>
  <c r="R70" i="25" s="1"/>
  <c r="P70" i="25"/>
  <c r="Q17" i="25"/>
  <c r="R17" i="25" s="1"/>
  <c r="P17" i="25"/>
  <c r="Q95" i="25"/>
  <c r="R95" i="25" s="1"/>
  <c r="P95" i="25"/>
  <c r="Q57" i="25"/>
  <c r="R57" i="25" s="1"/>
  <c r="P57" i="25"/>
  <c r="N13" i="26" s="1"/>
  <c r="D11" i="27" s="1"/>
  <c r="E11" i="27" s="1"/>
  <c r="P80" i="25"/>
  <c r="Q80" i="25"/>
  <c r="R80" i="25" s="1"/>
  <c r="P13" i="25"/>
  <c r="Q13" i="25"/>
  <c r="R13" i="25" s="1"/>
  <c r="Q74" i="25"/>
  <c r="R74" i="25" s="1"/>
  <c r="P74" i="25"/>
  <c r="Q19" i="25"/>
  <c r="R19" i="25" s="1"/>
  <c r="P19" i="25"/>
  <c r="Q50" i="25"/>
  <c r="R50" i="25" s="1"/>
  <c r="P50" i="25"/>
  <c r="Q49" i="25"/>
  <c r="R49" i="25" s="1"/>
  <c r="P49" i="25"/>
  <c r="P42" i="25"/>
  <c r="Q42" i="25"/>
  <c r="R42" i="25" s="1"/>
  <c r="Q16" i="25"/>
  <c r="R16" i="25" s="1"/>
  <c r="P16" i="25"/>
  <c r="Q94" i="25"/>
  <c r="R94" i="25" s="1"/>
  <c r="P94" i="25"/>
  <c r="Q14" i="25"/>
  <c r="R14" i="25" s="1"/>
  <c r="P14" i="25"/>
  <c r="Q55" i="25"/>
  <c r="R55" i="25" s="1"/>
  <c r="P55" i="25"/>
  <c r="Q30" i="25"/>
  <c r="R30" i="25" s="1"/>
  <c r="P30" i="25"/>
  <c r="P65" i="25"/>
  <c r="Q65" i="25"/>
  <c r="R65" i="25" s="1"/>
  <c r="Q36" i="25"/>
  <c r="R36" i="25" s="1"/>
  <c r="P36" i="25"/>
  <c r="Q54" i="25"/>
  <c r="R54" i="25" s="1"/>
  <c r="P54" i="25"/>
  <c r="Q53" i="25"/>
  <c r="R53" i="25" s="1"/>
  <c r="P53" i="25"/>
  <c r="L23" i="25"/>
  <c r="M23" i="25" s="1"/>
  <c r="N23" i="25" s="1"/>
  <c r="Q85" i="25"/>
  <c r="R85" i="25" s="1"/>
  <c r="P85" i="25"/>
  <c r="L39" i="25"/>
  <c r="M39" i="25" s="1"/>
  <c r="N39" i="25" s="1"/>
  <c r="Q77" i="25"/>
  <c r="R77" i="25" s="1"/>
  <c r="P77" i="25"/>
  <c r="Q103" i="25"/>
  <c r="R103" i="25" s="1"/>
  <c r="P103" i="25"/>
  <c r="Q101" i="25"/>
  <c r="R101" i="25" s="1"/>
  <c r="P101" i="25"/>
  <c r="Q102" i="25"/>
  <c r="R102" i="25" s="1"/>
  <c r="P102" i="25"/>
  <c r="Q71" i="25"/>
  <c r="R71" i="25" s="1"/>
  <c r="P71" i="25"/>
  <c r="Q67" i="25"/>
  <c r="R67" i="25" s="1"/>
  <c r="P67" i="25"/>
  <c r="Q100" i="25"/>
  <c r="R100" i="25" s="1"/>
  <c r="P100" i="25"/>
  <c r="Q69" i="25"/>
  <c r="R69" i="25" s="1"/>
  <c r="P69" i="25"/>
  <c r="L79" i="25"/>
  <c r="M79" i="25" s="1"/>
  <c r="N79" i="25" s="1"/>
  <c r="P20" i="25"/>
  <c r="Q20" i="25"/>
  <c r="R20" i="25" s="1"/>
  <c r="C15" i="21"/>
  <c r="D15" i="21"/>
  <c r="G15" i="21" s="1"/>
  <c r="A3" i="21"/>
  <c r="B2" i="21"/>
  <c r="H2" i="21"/>
  <c r="B3" i="21"/>
  <c r="A4" i="21"/>
  <c r="B4" i="21"/>
  <c r="A5" i="21"/>
  <c r="B5" i="21"/>
  <c r="A6" i="21"/>
  <c r="B6" i="21"/>
  <c r="H6" i="21"/>
  <c r="A7" i="21"/>
  <c r="B7" i="21"/>
  <c r="A8" i="21"/>
  <c r="B8" i="21"/>
  <c r="A9" i="21"/>
  <c r="B9" i="21"/>
  <c r="A10" i="21"/>
  <c r="B10" i="21"/>
  <c r="A11" i="21"/>
  <c r="B11" i="21"/>
  <c r="A12" i="21"/>
  <c r="B12" i="21"/>
  <c r="A13" i="21"/>
  <c r="B13" i="21"/>
  <c r="A14" i="21"/>
  <c r="B14" i="21"/>
  <c r="A15" i="21"/>
  <c r="B15" i="21"/>
  <c r="H15" i="21"/>
  <c r="A16" i="21"/>
  <c r="B16" i="21"/>
  <c r="A17" i="21"/>
  <c r="B17" i="21"/>
  <c r="A18" i="21"/>
  <c r="B18" i="21"/>
  <c r="A19" i="21"/>
  <c r="B19" i="21"/>
  <c r="A20" i="21"/>
  <c r="B20" i="21"/>
  <c r="P45" i="25" l="1"/>
  <c r="N10" i="26" s="1"/>
  <c r="D8" i="27" s="1"/>
  <c r="E8" i="27" s="1"/>
  <c r="P52" i="25"/>
  <c r="N12" i="26" s="1"/>
  <c r="D10" i="27" s="1"/>
  <c r="E10" i="27" s="1"/>
  <c r="P60" i="25"/>
  <c r="N14" i="26" s="1"/>
  <c r="D12" i="27" s="1"/>
  <c r="E12" i="27" s="1"/>
  <c r="P32" i="25"/>
  <c r="N8" i="26" s="1"/>
  <c r="D6" i="27" s="1"/>
  <c r="E6" i="27" s="1"/>
  <c r="P18" i="25"/>
  <c r="N5" i="26" s="1"/>
  <c r="D3" i="27" s="1"/>
  <c r="E3" i="27" s="1"/>
  <c r="Q98" i="25"/>
  <c r="R98" i="25" s="1"/>
  <c r="P12" i="25"/>
  <c r="N4" i="26" s="1"/>
  <c r="D2" i="27" s="1"/>
  <c r="E2" i="27" s="1"/>
  <c r="P63" i="25"/>
  <c r="N15" i="26" s="1"/>
  <c r="D13" i="27" s="1"/>
  <c r="E13" i="27" s="1"/>
  <c r="Q68" i="25"/>
  <c r="R68" i="25" s="1"/>
  <c r="P68" i="25"/>
  <c r="N16" i="26" s="1"/>
  <c r="D14" i="27" s="1"/>
  <c r="E14" i="27" s="1"/>
  <c r="P47" i="25"/>
  <c r="N11" i="26" s="1"/>
  <c r="D9" i="27" s="1"/>
  <c r="E9" i="27" s="1"/>
  <c r="P28" i="25"/>
  <c r="N7" i="26" s="1"/>
  <c r="D5" i="27" s="1"/>
  <c r="E5" i="27" s="1"/>
  <c r="Q39" i="25"/>
  <c r="R39" i="25" s="1"/>
  <c r="P39" i="25"/>
  <c r="N9" i="26" s="1"/>
  <c r="D7" i="27" s="1"/>
  <c r="E7" i="27" s="1"/>
  <c r="Q79" i="25"/>
  <c r="R79" i="25" s="1"/>
  <c r="P79" i="25"/>
  <c r="N17" i="26" s="1"/>
  <c r="D15" i="27" s="1"/>
  <c r="E15" i="27" s="1"/>
  <c r="Q23" i="25"/>
  <c r="R23" i="25" s="1"/>
  <c r="P23" i="25"/>
  <c r="N6" i="26" s="1"/>
  <c r="D4" i="27" s="1"/>
  <c r="E4" i="27" s="1"/>
  <c r="J113" i="19"/>
  <c r="J112" i="19"/>
  <c r="J111" i="19"/>
  <c r="J110" i="19"/>
  <c r="J109" i="19"/>
  <c r="J108" i="19"/>
  <c r="J105" i="19"/>
  <c r="J104" i="19"/>
  <c r="J103" i="19"/>
  <c r="J102" i="19"/>
  <c r="J99" i="19"/>
  <c r="J98" i="19"/>
  <c r="J95" i="19"/>
  <c r="J94" i="19"/>
  <c r="J93" i="19"/>
  <c r="J92" i="19"/>
  <c r="J91" i="19"/>
  <c r="J90" i="19"/>
  <c r="J89" i="19"/>
  <c r="J88" i="19"/>
  <c r="J87" i="19"/>
  <c r="J86" i="19"/>
  <c r="J83" i="19"/>
  <c r="J82" i="19"/>
  <c r="G10" i="22" s="1"/>
  <c r="J81" i="19"/>
  <c r="J80" i="19"/>
  <c r="J79" i="19"/>
  <c r="J78" i="19"/>
  <c r="J77" i="19"/>
  <c r="J76" i="19"/>
  <c r="J75" i="19"/>
  <c r="J74" i="19"/>
  <c r="G9" i="22" s="1"/>
  <c r="J71" i="19"/>
  <c r="J70" i="19"/>
  <c r="J69" i="19"/>
  <c r="J68" i="19"/>
  <c r="G5" i="22" s="1"/>
  <c r="J65" i="19"/>
  <c r="J64" i="19"/>
  <c r="J61" i="19"/>
  <c r="J60" i="19"/>
  <c r="J57" i="19"/>
  <c r="J56" i="19"/>
  <c r="G4" i="22" s="1"/>
  <c r="J55" i="19"/>
  <c r="G11" i="22" s="1"/>
  <c r="J54" i="19"/>
  <c r="J51" i="19"/>
  <c r="J50" i="19"/>
  <c r="J49" i="19"/>
  <c r="J48" i="19"/>
  <c r="J45" i="19"/>
  <c r="J42" i="19"/>
  <c r="G12" i="22" s="1"/>
  <c r="J41" i="19"/>
  <c r="J40" i="19"/>
  <c r="G7" i="22" s="1"/>
  <c r="J39" i="19"/>
  <c r="J38" i="19"/>
  <c r="J35" i="19"/>
  <c r="J34" i="19"/>
  <c r="J33" i="19"/>
  <c r="J32" i="19"/>
  <c r="J31" i="19"/>
  <c r="J30" i="19"/>
  <c r="J27" i="19"/>
  <c r="J26" i="19"/>
  <c r="J25" i="19"/>
  <c r="J22" i="19"/>
  <c r="J21" i="19"/>
  <c r="J20" i="19"/>
  <c r="J19" i="19"/>
  <c r="J16" i="19"/>
  <c r="J15" i="19"/>
  <c r="J14" i="19"/>
  <c r="J13" i="19"/>
  <c r="J10" i="19"/>
  <c r="CC3" i="19" s="1"/>
  <c r="J9" i="19"/>
  <c r="J8" i="19"/>
  <c r="J7" i="19"/>
  <c r="J6" i="19"/>
  <c r="G115" i="19"/>
  <c r="G114" i="19"/>
  <c r="C19" i="21" s="1"/>
  <c r="G106" i="19"/>
  <c r="G100" i="19"/>
  <c r="C17" i="21" s="1"/>
  <c r="G96" i="19"/>
  <c r="C16" i="21" s="1"/>
  <c r="C14" i="21"/>
  <c r="G66" i="19"/>
  <c r="C13" i="21" s="1"/>
  <c r="G62" i="19"/>
  <c r="C12" i="21" s="1"/>
  <c r="G58" i="19"/>
  <c r="C11" i="21" s="1"/>
  <c r="G52" i="19"/>
  <c r="G46" i="19"/>
  <c r="C9" i="21" s="1"/>
  <c r="G43" i="19"/>
  <c r="C8" i="21" s="1"/>
  <c r="G36" i="19"/>
  <c r="C7" i="21" s="1"/>
  <c r="G28" i="19"/>
  <c r="G23" i="19"/>
  <c r="C5" i="21" s="1"/>
  <c r="G17" i="19"/>
  <c r="G11" i="19"/>
  <c r="C3" i="21" s="1"/>
  <c r="G2" i="26" l="1"/>
  <c r="L13" i="26" s="1"/>
  <c r="C18" i="21"/>
  <c r="D8" i="22"/>
  <c r="C10" i="21"/>
  <c r="D6" i="22"/>
  <c r="C6" i="21"/>
  <c r="D3" i="22"/>
  <c r="C4" i="21"/>
  <c r="D2" i="22"/>
  <c r="C20" i="21"/>
  <c r="H11" i="19"/>
  <c r="BV5" i="19" s="1"/>
  <c r="B15" i="20"/>
  <c r="H115" i="19"/>
  <c r="BV22" i="19" s="1"/>
  <c r="H36" i="19"/>
  <c r="BV9" i="19" s="1"/>
  <c r="I36" i="19"/>
  <c r="I84" i="19"/>
  <c r="L10" i="26" l="1"/>
  <c r="L4" i="26"/>
  <c r="L16" i="26"/>
  <c r="L12" i="26"/>
  <c r="L11" i="26"/>
  <c r="L6" i="26"/>
  <c r="L5" i="26"/>
  <c r="L7" i="26"/>
  <c r="L19" i="26"/>
  <c r="L15" i="26"/>
  <c r="L17" i="26"/>
  <c r="L8" i="26"/>
  <c r="L20" i="26"/>
  <c r="L9" i="26"/>
  <c r="L18" i="26"/>
  <c r="L14" i="26"/>
  <c r="D7" i="21"/>
  <c r="G7" i="21" s="1"/>
  <c r="H7" i="21"/>
  <c r="D3" i="21"/>
  <c r="G3" i="21" s="1"/>
  <c r="H3" i="21"/>
  <c r="D20" i="21"/>
  <c r="G20" i="21" s="1"/>
  <c r="H20" i="21"/>
  <c r="C15" i="20"/>
  <c r="E15" i="21"/>
  <c r="C7" i="20"/>
  <c r="E7" i="21"/>
  <c r="B7" i="20"/>
  <c r="B3" i="20"/>
  <c r="B20" i="20"/>
  <c r="J36" i="19"/>
  <c r="I114" i="19"/>
  <c r="H114" i="19"/>
  <c r="I106" i="19"/>
  <c r="F8" i="22" s="1"/>
  <c r="H106" i="19"/>
  <c r="E8" i="22" s="1"/>
  <c r="H8" i="22" s="1"/>
  <c r="I100" i="19"/>
  <c r="H100" i="19"/>
  <c r="J100" i="19"/>
  <c r="I96" i="19"/>
  <c r="H96" i="19"/>
  <c r="I72" i="19"/>
  <c r="H72" i="19"/>
  <c r="I66" i="19"/>
  <c r="H66" i="19"/>
  <c r="I62" i="19"/>
  <c r="H62" i="19"/>
  <c r="I58" i="19"/>
  <c r="H58" i="19"/>
  <c r="I52" i="19"/>
  <c r="F6" i="22" s="1"/>
  <c r="H52" i="19"/>
  <c r="E6" i="22" s="1"/>
  <c r="H6" i="22" s="1"/>
  <c r="I46" i="19"/>
  <c r="H46" i="19"/>
  <c r="J46" i="19"/>
  <c r="I43" i="19"/>
  <c r="H43" i="19"/>
  <c r="BV10" i="19" s="1"/>
  <c r="I28" i="19"/>
  <c r="F3" i="22" s="1"/>
  <c r="H28" i="19"/>
  <c r="E3" i="22" s="1"/>
  <c r="H3" i="22" s="1"/>
  <c r="I23" i="19"/>
  <c r="H23" i="19"/>
  <c r="BV7" i="19" s="1"/>
  <c r="I17" i="19"/>
  <c r="F2" i="22" s="1"/>
  <c r="H17" i="19"/>
  <c r="I11" i="19"/>
  <c r="BV6" i="19" l="1"/>
  <c r="H4" i="21" s="1"/>
  <c r="E2" i="22"/>
  <c r="H2" i="22" s="1"/>
  <c r="BV21" i="19"/>
  <c r="H19" i="21" s="1"/>
  <c r="BV18" i="19"/>
  <c r="H16" i="21" s="1"/>
  <c r="BV14" i="19"/>
  <c r="H12" i="21" s="1"/>
  <c r="BV19" i="19"/>
  <c r="H17" i="21" s="1"/>
  <c r="BV11" i="19"/>
  <c r="H9" i="21" s="1"/>
  <c r="BV15" i="19"/>
  <c r="H13" i="21" s="1"/>
  <c r="BV20" i="19"/>
  <c r="H18" i="21" s="1"/>
  <c r="BV13" i="19"/>
  <c r="H11" i="21" s="1"/>
  <c r="BV12" i="19"/>
  <c r="H10" i="21" s="1"/>
  <c r="BV16" i="19"/>
  <c r="H14" i="21" s="1"/>
  <c r="D8" i="21"/>
  <c r="G8" i="21" s="1"/>
  <c r="H8" i="21"/>
  <c r="D4" i="21"/>
  <c r="G4" i="21" s="1"/>
  <c r="D5" i="21"/>
  <c r="G5" i="21" s="1"/>
  <c r="H5" i="21"/>
  <c r="B11" i="20"/>
  <c r="D11" i="21"/>
  <c r="G11" i="21" s="1"/>
  <c r="C3" i="20"/>
  <c r="E3" i="21"/>
  <c r="C8" i="20"/>
  <c r="E8" i="21"/>
  <c r="B12" i="20"/>
  <c r="D12" i="21"/>
  <c r="G12" i="21" s="1"/>
  <c r="D17" i="20"/>
  <c r="F17" i="21"/>
  <c r="B16" i="20"/>
  <c r="D16" i="21"/>
  <c r="G16" i="21" s="1"/>
  <c r="C11" i="20"/>
  <c r="E11" i="21"/>
  <c r="C12" i="20"/>
  <c r="E12" i="21"/>
  <c r="B17" i="20"/>
  <c r="D17" i="21"/>
  <c r="G17" i="21" s="1"/>
  <c r="C4" i="20"/>
  <c r="E4" i="21"/>
  <c r="B9" i="20"/>
  <c r="D9" i="21"/>
  <c r="G9" i="21" s="1"/>
  <c r="B13" i="20"/>
  <c r="D13" i="21"/>
  <c r="G13" i="21" s="1"/>
  <c r="C17" i="20"/>
  <c r="E17" i="21"/>
  <c r="C6" i="20"/>
  <c r="E6" i="21"/>
  <c r="D7" i="20"/>
  <c r="F7" i="21"/>
  <c r="C9" i="20"/>
  <c r="E9" i="21"/>
  <c r="C13" i="20"/>
  <c r="E13" i="21"/>
  <c r="B18" i="20"/>
  <c r="D18" i="21"/>
  <c r="G18" i="21" s="1"/>
  <c r="C18" i="20"/>
  <c r="E18" i="21"/>
  <c r="C19" i="20"/>
  <c r="E19" i="21"/>
  <c r="C16" i="20"/>
  <c r="E16" i="21"/>
  <c r="D9" i="20"/>
  <c r="F9" i="21"/>
  <c r="C5" i="20"/>
  <c r="E5" i="21"/>
  <c r="B10" i="20"/>
  <c r="D10" i="21"/>
  <c r="G10" i="21" s="1"/>
  <c r="B14" i="20"/>
  <c r="D14" i="21"/>
  <c r="G14" i="21" s="1"/>
  <c r="B6" i="20"/>
  <c r="D6" i="21"/>
  <c r="G6" i="21" s="1"/>
  <c r="C10" i="20"/>
  <c r="E10" i="21"/>
  <c r="C14" i="20"/>
  <c r="E14" i="21"/>
  <c r="B19" i="20"/>
  <c r="D19" i="21"/>
  <c r="G19" i="21" s="1"/>
  <c r="B8" i="20"/>
  <c r="B4" i="20"/>
  <c r="B5" i="20"/>
  <c r="I115" i="19"/>
  <c r="J72" i="19"/>
  <c r="J62" i="19"/>
  <c r="J52" i="19"/>
  <c r="G6" i="22" s="1"/>
  <c r="J58" i="19"/>
  <c r="J66" i="19"/>
  <c r="J23" i="19"/>
  <c r="J11" i="19"/>
  <c r="J28" i="19"/>
  <c r="G3" i="22" s="1"/>
  <c r="J17" i="19"/>
  <c r="G2" i="22" s="1"/>
  <c r="J43" i="19"/>
  <c r="J84" i="19"/>
  <c r="F15" i="21" s="1"/>
  <c r="J106" i="19"/>
  <c r="G8" i="22" s="1"/>
  <c r="J114" i="19"/>
  <c r="D12" i="20" l="1"/>
  <c r="F12" i="21"/>
  <c r="D8" i="20"/>
  <c r="F8" i="21"/>
  <c r="D4" i="20"/>
  <c r="F4" i="21"/>
  <c r="D14" i="20"/>
  <c r="F14" i="21"/>
  <c r="D18" i="20"/>
  <c r="F18" i="21"/>
  <c r="D3" i="20"/>
  <c r="F3" i="21"/>
  <c r="J115" i="19"/>
  <c r="F20" i="21" s="1"/>
  <c r="E20" i="21"/>
  <c r="D5" i="20"/>
  <c r="F5" i="21"/>
  <c r="D6" i="20"/>
  <c r="F6" i="21"/>
  <c r="D19" i="20"/>
  <c r="F19" i="21"/>
  <c r="D13" i="20"/>
  <c r="F13" i="21"/>
  <c r="D11" i="20"/>
  <c r="F11" i="21"/>
  <c r="D10" i="20"/>
  <c r="F10" i="21"/>
  <c r="J96" i="19"/>
  <c r="D15" i="20"/>
  <c r="C20" i="20"/>
  <c r="D20" i="20" l="1"/>
  <c r="D16" i="20"/>
  <c r="F16" i="21"/>
  <c r="G166" i="1"/>
  <c r="H166" i="1"/>
  <c r="I204" i="1" l="1"/>
  <c r="I203" i="1"/>
  <c r="I202" i="1"/>
  <c r="I201" i="1"/>
  <c r="I200" i="1"/>
  <c r="I199" i="1"/>
  <c r="I198" i="1"/>
  <c r="I197" i="1"/>
  <c r="I194" i="1"/>
  <c r="I193" i="1"/>
  <c r="I192" i="1"/>
  <c r="I191" i="1"/>
  <c r="I181" i="1"/>
  <c r="I180" i="1"/>
  <c r="I179" i="1"/>
  <c r="I178" i="1"/>
  <c r="I177" i="1"/>
  <c r="I176" i="1"/>
  <c r="I175" i="1"/>
  <c r="I168" i="1"/>
  <c r="I172" i="1"/>
  <c r="I171" i="1"/>
  <c r="I170" i="1"/>
  <c r="I169" i="1"/>
  <c r="I165" i="1"/>
  <c r="I164" i="1"/>
  <c r="I163" i="1"/>
  <c r="I162" i="1"/>
  <c r="I161" i="1"/>
  <c r="I160" i="1"/>
  <c r="I159" i="1"/>
  <c r="I158" i="1"/>
  <c r="I157" i="1"/>
  <c r="I156" i="1"/>
  <c r="I155" i="1"/>
  <c r="I154" i="1"/>
  <c r="I153" i="1"/>
  <c r="I150" i="1"/>
  <c r="I149" i="1"/>
  <c r="I148" i="1"/>
  <c r="I147" i="1"/>
  <c r="I146" i="1"/>
  <c r="I145" i="1"/>
  <c r="I144" i="1"/>
  <c r="I134" i="1"/>
  <c r="I133" i="1"/>
  <c r="I132" i="1"/>
  <c r="I131" i="1"/>
  <c r="I130" i="1"/>
  <c r="I129" i="1"/>
  <c r="I128" i="1"/>
  <c r="I127" i="1"/>
  <c r="I126" i="1"/>
  <c r="I125" i="1"/>
  <c r="I124" i="1"/>
  <c r="I123" i="1"/>
  <c r="I122" i="1"/>
  <c r="I121" i="1"/>
  <c r="I118" i="1"/>
  <c r="I117" i="1"/>
  <c r="I116" i="1"/>
  <c r="I115" i="1"/>
  <c r="I114" i="1"/>
  <c r="I113" i="1"/>
  <c r="I112" i="1"/>
  <c r="I111" i="1"/>
  <c r="I110" i="1"/>
  <c r="I109" i="1"/>
  <c r="I108" i="1"/>
  <c r="I107" i="1"/>
  <c r="I106" i="1"/>
  <c r="I105" i="1"/>
  <c r="I104" i="1"/>
  <c r="I101" i="1"/>
  <c r="I100" i="1"/>
  <c r="I90" i="1"/>
  <c r="I89" i="1"/>
  <c r="I88" i="1"/>
  <c r="I87" i="1"/>
  <c r="I86" i="1"/>
  <c r="I85" i="1"/>
  <c r="I84" i="1"/>
  <c r="I83" i="1"/>
  <c r="I82" i="1"/>
  <c r="I81" i="1"/>
  <c r="I80" i="1"/>
  <c r="I79" i="1"/>
  <c r="I78" i="1"/>
  <c r="I77" i="1"/>
  <c r="I67" i="1"/>
  <c r="I66" i="1"/>
  <c r="I65" i="1"/>
  <c r="I64" i="1"/>
  <c r="I63" i="1"/>
  <c r="I62" i="1"/>
  <c r="I61" i="1"/>
  <c r="I60" i="1"/>
  <c r="I59" i="1"/>
  <c r="I58" i="1"/>
  <c r="I55" i="1"/>
  <c r="I54" i="1"/>
  <c r="I53" i="1"/>
  <c r="I52" i="1"/>
  <c r="I51" i="1"/>
  <c r="I50" i="1"/>
  <c r="I47" i="1"/>
  <c r="I46" i="1"/>
  <c r="I45" i="1"/>
  <c r="I44" i="1"/>
  <c r="I43" i="1"/>
  <c r="I42" i="1"/>
  <c r="I41" i="1"/>
  <c r="I38" i="1"/>
  <c r="I37" i="1"/>
  <c r="I28" i="1"/>
  <c r="I27" i="1"/>
  <c r="I26" i="1"/>
  <c r="I25" i="1"/>
  <c r="I24" i="1"/>
  <c r="H11" i="1"/>
  <c r="E3" i="10" s="1"/>
  <c r="E15" i="10"/>
  <c r="I23" i="1"/>
  <c r="I22" i="1"/>
  <c r="I21" i="1"/>
  <c r="I20" i="1"/>
  <c r="I19" i="1"/>
  <c r="I18" i="1"/>
  <c r="I17" i="1"/>
  <c r="I16" i="1"/>
  <c r="I13" i="1"/>
  <c r="I10" i="1"/>
  <c r="I7" i="1"/>
  <c r="I6" i="1"/>
  <c r="H205" i="1"/>
  <c r="E19" i="10" s="1"/>
  <c r="H195" i="1"/>
  <c r="E18" i="10" s="1"/>
  <c r="H189" i="1"/>
  <c r="E17" i="10" s="1"/>
  <c r="H173" i="1"/>
  <c r="E16" i="10" s="1"/>
  <c r="H151" i="1"/>
  <c r="E14" i="10" s="1"/>
  <c r="H142" i="1"/>
  <c r="E13" i="10" s="1"/>
  <c r="H119" i="1"/>
  <c r="E12" i="10" s="1"/>
  <c r="H102" i="1"/>
  <c r="E11" i="10" s="1"/>
  <c r="H98" i="1"/>
  <c r="E10" i="10" s="1"/>
  <c r="H75" i="1"/>
  <c r="E9" i="10" s="1"/>
  <c r="H56" i="1"/>
  <c r="E8" i="10" s="1"/>
  <c r="H48" i="1"/>
  <c r="E7" i="10" s="1"/>
  <c r="H39" i="1"/>
  <c r="E6" i="10" s="1"/>
  <c r="H35" i="1"/>
  <c r="E5" i="10" s="1"/>
  <c r="H14" i="1"/>
  <c r="E4" i="10" s="1"/>
  <c r="H8" i="1"/>
  <c r="E2" i="10" s="1"/>
  <c r="D15" i="10"/>
  <c r="G205" i="1"/>
  <c r="D19" i="10" s="1"/>
  <c r="G195" i="1"/>
  <c r="D18" i="10" s="1"/>
  <c r="G189" i="1"/>
  <c r="G173" i="1"/>
  <c r="D16" i="10" s="1"/>
  <c r="G151" i="1"/>
  <c r="D14" i="10" s="1"/>
  <c r="G142" i="1"/>
  <c r="D13" i="10" s="1"/>
  <c r="G119" i="1"/>
  <c r="D12" i="10" s="1"/>
  <c r="G102" i="1"/>
  <c r="D11" i="10" s="1"/>
  <c r="G98" i="1"/>
  <c r="D10" i="10" s="1"/>
  <c r="G75" i="1"/>
  <c r="D9" i="10" s="1"/>
  <c r="G56" i="1"/>
  <c r="D8" i="10" s="1"/>
  <c r="G48" i="1"/>
  <c r="D7" i="10" s="1"/>
  <c r="G39" i="1"/>
  <c r="D6" i="10" s="1"/>
  <c r="G35" i="1"/>
  <c r="D5" i="10" s="1"/>
  <c r="G14" i="1"/>
  <c r="D4" i="10" s="1"/>
  <c r="G11" i="1"/>
  <c r="D3" i="10" s="1"/>
  <c r="G8" i="1"/>
  <c r="D2" i="10" s="1"/>
  <c r="D17" i="10" l="1"/>
  <c r="I166" i="1"/>
  <c r="F15" i="10" s="1"/>
  <c r="H213" i="1"/>
  <c r="G213" i="1"/>
  <c r="I75" i="1"/>
  <c r="F9" i="10" l="1"/>
  <c r="D20" i="10"/>
  <c r="E20" i="10"/>
  <c r="I39" i="1"/>
  <c r="F6" i="10" s="1"/>
  <c r="I48" i="1"/>
  <c r="F7" i="10" s="1"/>
  <c r="I56" i="1"/>
  <c r="F8" i="10" s="1"/>
  <c r="I8" i="1"/>
  <c r="F2" i="10" s="1"/>
  <c r="I35" i="1" l="1"/>
  <c r="I205" i="1"/>
  <c r="F19" i="10" s="1"/>
  <c r="I195" i="1"/>
  <c r="F18" i="10" s="1"/>
  <c r="I189" i="1"/>
  <c r="I173" i="1"/>
  <c r="F16" i="10" s="1"/>
  <c r="I151" i="1"/>
  <c r="I142" i="1"/>
  <c r="I119" i="1"/>
  <c r="F12" i="10" s="1"/>
  <c r="I102" i="1"/>
  <c r="I98" i="1"/>
  <c r="I14" i="1"/>
  <c r="F4" i="10" s="1"/>
  <c r="I11" i="1"/>
  <c r="F3" i="10" s="1"/>
  <c r="F17" i="10" l="1"/>
  <c r="F13" i="10"/>
  <c r="F14" i="10"/>
  <c r="F10" i="10"/>
  <c r="F11" i="10"/>
  <c r="F5" i="10"/>
  <c r="I213" i="1"/>
  <c r="F20" i="10" l="1"/>
</calcChain>
</file>

<file path=xl/sharedStrings.xml><?xml version="1.0" encoding="utf-8"?>
<sst xmlns="http://schemas.openxmlformats.org/spreadsheetml/2006/main" count="7088" uniqueCount="1939">
  <si>
    <t xml:space="preserve">Security Maturity Plan: Scotia University </t>
  </si>
  <si>
    <t xml:space="preserve"> Period Highlight:</t>
  </si>
  <si>
    <t>Plan Duration</t>
  </si>
  <si>
    <t>Actual Start</t>
  </si>
  <si>
    <t>% Complete</t>
  </si>
  <si>
    <t>Actual (beyond plan)</t>
  </si>
  <si>
    <t>% Complete (beyond plan)</t>
  </si>
  <si>
    <t>Completeness / Transformation Projects</t>
  </si>
  <si>
    <t>Section</t>
  </si>
  <si>
    <t>Control</t>
  </si>
  <si>
    <t>Control Description</t>
  </si>
  <si>
    <t>Control Maturity Score</t>
  </si>
  <si>
    <t>Target Maturity Score</t>
  </si>
  <si>
    <t>Maturity Gap</t>
  </si>
  <si>
    <t>Resource (Internal)</t>
  </si>
  <si>
    <t>Resource (External)</t>
  </si>
  <si>
    <t>Notes</t>
  </si>
  <si>
    <t>Dependencies</t>
  </si>
  <si>
    <t>Deliverables</t>
  </si>
  <si>
    <t>PLAN START</t>
  </si>
  <si>
    <t>PLANNED DURATION</t>
  </si>
  <si>
    <t>ACTUAL START</t>
  </si>
  <si>
    <t>ACTUAL DURATION</t>
  </si>
  <si>
    <t>% COMPLETE</t>
  </si>
  <si>
    <t>Ongoing</t>
  </si>
  <si>
    <t>A.1 Security Strategy</t>
  </si>
  <si>
    <t>Not Started</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</si>
  <si>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</si>
  <si>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</si>
  <si>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</si>
  <si>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TBC</t>
  </si>
  <si>
    <t>Requires regular review</t>
  </si>
  <si>
    <t>Security Strategy</t>
  </si>
  <si>
    <t>Policy Document</t>
  </si>
  <si>
    <t>A.1.1.2 Contents of the policies for information security</t>
  </si>
  <si>
    <t>The policies for information security shall be written to reflect the objectives outlined within the organisations security strategy, reviewed at planned intervals or if significant changes occur to ensure their continuing suitability, adequacy and effectiveness.</t>
  </si>
  <si>
    <t>These policies exist and are reviewed on a regular basis as per normal audit requirements these policies have been adopted across the partnership</t>
  </si>
  <si>
    <t>Review</t>
  </si>
  <si>
    <t>Section Maturity Score</t>
  </si>
  <si>
    <t>A.2 Terms and Definitions</t>
  </si>
  <si>
    <t>A.2.1 Terms and definitions used within the Security Policy Framework</t>
  </si>
  <si>
    <t>A.2.1.1 Terms and Definitions catalogue</t>
  </si>
  <si>
    <t>A set of defined technical terms and  acronyms as included within the Security Policy Framework</t>
  </si>
  <si>
    <t>Some definitions exist in some polices but this document needs to be developed and agreed</t>
  </si>
  <si>
    <t>Completion of Framework Policies</t>
  </si>
  <si>
    <t>Terms and Definitions</t>
  </si>
  <si>
    <t>A.3 Structure of information security standards</t>
  </si>
  <si>
    <t>A.3.1 Logical structure for development and adoption of information security standards</t>
  </si>
  <si>
    <t>A.3.1.1 logical sequence for information security implementation</t>
  </si>
  <si>
    <t>A "touchpoint" model indicating the logical sequencing of the various tasks involved with ensuring information security.</t>
  </si>
  <si>
    <t>This should be included in the service catelogue and needs to reviewed</t>
  </si>
  <si>
    <t>Information Security Development Model</t>
  </si>
  <si>
    <t>Security Standards</t>
  </si>
  <si>
    <t>A.4 Risk Management</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</si>
  <si>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</si>
  <si>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</si>
  <si>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</si>
  <si>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We will work with the IRWG to develop this</t>
  </si>
  <si>
    <t>Task</t>
  </si>
  <si>
    <t>A.4.1.2 Review and consolidate previous iterations of Risk logs</t>
  </si>
  <si>
    <t>Provide a single point of view for security risk across the organisation</t>
  </si>
  <si>
    <t>RAID log</t>
  </si>
  <si>
    <t>A.4.1.3 Define the Terms of Reference for the Information Security Risk Working Group</t>
  </si>
  <si>
    <t>Provide an operating framework for ongoing risk management within the Organisation</t>
  </si>
  <si>
    <t>A.4.1.4 Provide reporting structure and tools for ongoing security management</t>
  </si>
  <si>
    <t>Regular Risk updates and reports formally recorded and circulated</t>
  </si>
  <si>
    <t>Procedure</t>
  </si>
  <si>
    <t>A.4.1.5 Introduce maturity model</t>
  </si>
  <si>
    <t>Upgrade the security risk management function</t>
  </si>
  <si>
    <t>A.4.1.1 Policies for information security risk management: A.4.1.2 Review and consolidate previous iterations of Risk logs: A.4.1.3 Define the Terms of Reference for the Security Risk Working Group: A.4.1.4 Provide reporting structure and tools for ongoing security management.</t>
  </si>
  <si>
    <t>Touchpoint Review</t>
  </si>
  <si>
    <t>A.4.1.6 Introduce Risk controls</t>
  </si>
  <si>
    <t>Extend the Risk management model to include compliant risk controls and communications</t>
  </si>
  <si>
    <t>A.4.1.7 Introduce Action Logs</t>
  </si>
  <si>
    <t>Record and circulate Actions and mitigations agreed at RWG level for scheduled attention and completion</t>
  </si>
  <si>
    <t>A.4.1.8 Introduce Project/Workstream Risk plans</t>
  </si>
  <si>
    <t>Ensure recording and consideration of risks associated with each workstream</t>
  </si>
  <si>
    <t>A.4.1.9 Introduce Risk KPI's for IRWG</t>
  </si>
  <si>
    <t>Provide analysis of current Risk status against agreed  Risk appetite recorded in RAID log</t>
  </si>
  <si>
    <t>A.4.10 Introduce Risk visualisation for IRWG e.g. risk wheel</t>
  </si>
  <si>
    <t>Provide a visualisation of current Risk status against agreed  Risk appetite recorded in RAID log</t>
  </si>
  <si>
    <t>Display</t>
  </si>
  <si>
    <t>A.4.1.11 Introduce decision reporting</t>
  </si>
  <si>
    <t>Record, escalate and circulate decisions and outputs ascertained at RWG level for management approval and completion</t>
  </si>
  <si>
    <t>A.4.1.12 Embed updated procedures across organisation</t>
  </si>
  <si>
    <t>The policies for risk management to be communicated, shared and standardised across the organisation</t>
  </si>
  <si>
    <t>Communications Plan</t>
  </si>
  <si>
    <t>A.4.1.13 Review of the procedures for information security risk management</t>
  </si>
  <si>
    <t>The policies for information security shall be reviewed at planned intervals or if significant changes occur to ensure their continuing suitability, adequacy and effectiveness.</t>
  </si>
  <si>
    <t>Continuous improvement</t>
  </si>
  <si>
    <t>Transformation</t>
  </si>
  <si>
    <t>T0</t>
  </si>
  <si>
    <t>Develop Requirements for an Agency wide Security Risk Management Tool (SRMT) based on detailed Attack Tree information</t>
  </si>
  <si>
    <t>Project</t>
  </si>
  <si>
    <t>A.4.1 Risk Management Policy A.4.1.6 Introduce Risk controls</t>
  </si>
  <si>
    <t>Policy Document Set</t>
  </si>
  <si>
    <t>Develop Requirements for integration of SRMT for monitoring/inclusion within ISMS</t>
  </si>
  <si>
    <t>Develop Requirements/User Stories for Integrated SRMT</t>
  </si>
  <si>
    <t>Organisation Wide Asset Register</t>
  </si>
  <si>
    <t>Procurement</t>
  </si>
  <si>
    <t>Procure Integrated Risk Management Tool based on Attack Tree requirements</t>
  </si>
  <si>
    <t>Deploy Integrated SRMT</t>
  </si>
  <si>
    <t>Integrate SRMT Within ISMS</t>
  </si>
  <si>
    <t>Organisation Wide Asset Register Integrated with ISMS</t>
  </si>
  <si>
    <t>Risk</t>
  </si>
  <si>
    <t>A.5 Information security policy management</t>
  </si>
  <si>
    <t>A.5.1 Management direction for information security</t>
  </si>
  <si>
    <t>A.5.1.1 Policies for information security</t>
  </si>
  <si>
    <t>A set of policies for information security shall be defined, approved by management, published and communicated to employees and relevant external parties.</t>
  </si>
  <si>
    <t>Some gaps need to be dealt with and policies developed</t>
  </si>
  <si>
    <t>A.5.1.2 Review of the policies for information security</t>
  </si>
  <si>
    <t>Policy Management</t>
  </si>
  <si>
    <t>A.6 Organisation of information security</t>
  </si>
  <si>
    <t>A.6.1 Internal organisation</t>
  </si>
  <si>
    <t>A.6.1.1 Information security roles and responsibilities</t>
  </si>
  <si>
    <t>All information security responsibilities shall be defined and allocated.</t>
  </si>
  <si>
    <t>Documentation and acceptance of the individuals at partner sites need to be developed.</t>
  </si>
  <si>
    <t>Organisational Structure</t>
  </si>
  <si>
    <t>A.6.1.2 Segregation of duties</t>
  </si>
  <si>
    <t>Conflicting duties and areas of responsibility shall be segregated to reduce opportunities for unauthorised or unintentional modification or misuse of the organisation’s assets.</t>
  </si>
  <si>
    <t>Policy Link</t>
  </si>
  <si>
    <t>A.6.1.3 Contact with authorities</t>
  </si>
  <si>
    <t>Appropriate contacts with relevant authorities shall be maintained.</t>
  </si>
  <si>
    <t>A.6.1.4 Contact with special interest groups</t>
  </si>
  <si>
    <t>Appropriate contacts with special interest groups or other specialist security forums and professional associations shall be maintained.</t>
  </si>
  <si>
    <t>A.6.1.5 Information security in project management</t>
  </si>
  <si>
    <t>Information security shall be addressed in project management, regardless of the type of the project.</t>
  </si>
  <si>
    <t>CISO/maturity engagement model</t>
  </si>
  <si>
    <t>A.6.2 Mobile devices and teleworking</t>
  </si>
  <si>
    <t>A.6.2.1 Mobile device policy</t>
  </si>
  <si>
    <t>A policy and supporting security measures shall be adopted to manage the risks introduced by using mobile devices.</t>
  </si>
  <si>
    <t>A.6.2.2 Teleworking</t>
  </si>
  <si>
    <t>A policy and supporting security measures shall be implemented to protect information accessed, processed or stored at teleworking sites.</t>
  </si>
  <si>
    <t>Needs to be reviewed</t>
  </si>
  <si>
    <t>InfoSec Organisation</t>
  </si>
  <si>
    <t>A.7 Human resources security</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</si>
  <si>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</si>
  <si>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</si>
  <si>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</si>
  <si>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Needs to be developed</t>
  </si>
  <si>
    <t>A.7.1.2 Terms and conditions of employment</t>
  </si>
  <si>
    <t>The contractual agreements with employees and contractors shall state their and the organisation’s responsibilities for information security.</t>
  </si>
  <si>
    <t>Policy Link/Employment Contract</t>
  </si>
  <si>
    <t>A.7.2 During employment</t>
  </si>
  <si>
    <t>A.7.2.1 Management responsibilities</t>
  </si>
  <si>
    <t>Management shall require all employees and contractors to apply information security in accordance with the established policies and procedures of the organisation.</t>
  </si>
  <si>
    <t>In place but needs reviewing</t>
  </si>
  <si>
    <t>Refresher Security Awareness Training</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</si>
  <si>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</si>
  <si>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</si>
  <si>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In place for staff needs to be reviewed for contractors</t>
  </si>
  <si>
    <t>Security Awareness Training</t>
  </si>
  <si>
    <t>A.7.2.3 Disciplinary process</t>
  </si>
  <si>
    <t>There shall be a formal and communicated disciplinary process in place to take action against employees who have committed an information security breach.</t>
  </si>
  <si>
    <t>This is in the acceptable use policy but may need to be developed into other systems</t>
  </si>
  <si>
    <t>A.7.3 Termination and change of employment</t>
  </si>
  <si>
    <t>A.7.3.1 Termination or change of employment responsibilities</t>
  </si>
  <si>
    <t>Information security responsibilities and duties that remain valid after termination or change of employment shall be defined, communicated to the employee or contractor and enforced.</t>
  </si>
  <si>
    <t>Need to be developed</t>
  </si>
  <si>
    <t>Human resources</t>
  </si>
  <si>
    <t>A.8 Asset management</t>
  </si>
  <si>
    <t>A.8.1 Responsibility for assets</t>
  </si>
  <si>
    <t>A.8.1.1 Inventory of assets</t>
  </si>
  <si>
    <t>Assets associated with information and information processing facilities shall be identified and an inventory of these assets shall be drawn up and maintained.</t>
  </si>
  <si>
    <t>Asset list exist in multiple places may need to be centralised into UniDesk</t>
  </si>
  <si>
    <t>Asset Register</t>
  </si>
  <si>
    <t>A.8.1.2 Ownership of assets</t>
  </si>
  <si>
    <t>Assets maintained in the inventory shall be owned.</t>
  </si>
  <si>
    <t>A.8.1.3 Acceptable use of assets</t>
  </si>
  <si>
    <t>Rules for the acceptable use of information and of assets associated with information and information processing facilities shall be identified, documented and implemented.</t>
  </si>
  <si>
    <t>Acceptable Use Policy</t>
  </si>
  <si>
    <t>A.8.1.4 Return of assets</t>
  </si>
  <si>
    <t>All employees and external party users shall return all of the organisational assets in their possession upon termination of their employment, contract or agreement.</t>
  </si>
  <si>
    <t>Needs to be reviewed and added to the leavers policies</t>
  </si>
  <si>
    <t>JML Policy</t>
  </si>
  <si>
    <t>A.8.2 Information classification</t>
  </si>
  <si>
    <t>A.8.2.1 Classification of information</t>
  </si>
  <si>
    <t>Information shall be classified in terms of legal requirements, value, criticality and sensitivity to unauthorised disclosure or modification.</t>
  </si>
  <si>
    <t>In place but will need to be reviewd across the partnership</t>
  </si>
  <si>
    <t>Classification Scheme</t>
  </si>
  <si>
    <t>A.8.2.2 Labelling of information</t>
  </si>
  <si>
    <t>An appropriate set of procedures for information labelling shall be developed and implemented in accordance with the information classification scheme adopted by the organisation.</t>
  </si>
  <si>
    <t>A.8.2.3 Handling of assets</t>
  </si>
  <si>
    <t>Procedures for handling assets shall be developed and implemented in accordance with the information classification scheme adopted by the organisation.</t>
  </si>
  <si>
    <t>Data Handling Procedures</t>
  </si>
  <si>
    <t>A.8.3 Media Handling</t>
  </si>
  <si>
    <t>A.8.3.1 Management of removable media</t>
  </si>
  <si>
    <t>Procedures shall be implemented for the management of removable media in accordance with the classification scheme adopted by the organisation.</t>
  </si>
  <si>
    <t>Media Handling Procedures</t>
  </si>
  <si>
    <t>A.8.3.2 Disposal of media</t>
  </si>
  <si>
    <t>Media shall be disposed of securely when no longer required, using formal procedures.</t>
  </si>
  <si>
    <t>A.8.3.3 Physical media transfer</t>
  </si>
  <si>
    <t>Media containing information shall be protected against unauthorised access, misuse or corruption during transportation.</t>
  </si>
  <si>
    <t>T1</t>
  </si>
  <si>
    <t>Develop Requirements for an Agency wide Asset Register Covering JiSC, Cloud PC, BYOD and MacBook Estates</t>
  </si>
  <si>
    <t>A.8.1 Responsibility for assets, A.8.1.1 Inventory of assets, A.8.2 Information classification, A.8.3 Media Handling</t>
  </si>
  <si>
    <t>Develop Requirements for integration of Asset registers for monitoring within ISMS</t>
  </si>
  <si>
    <t>Include Asset Management Disposal Procedures within JML</t>
  </si>
  <si>
    <t>Develop Requirements/User Stories for Integrated Asset Register</t>
  </si>
  <si>
    <t>Procure Integrated Asset Register</t>
  </si>
  <si>
    <t>3rd party agreement on single point of asset control (includes Cloud based apps and environment, JiSC, PC, BYOD and MacBooks)</t>
  </si>
  <si>
    <t>Deploy Integrated Asset Register</t>
  </si>
  <si>
    <t>Integrate Asset Register Within ISMS</t>
  </si>
  <si>
    <t>Asset Management</t>
  </si>
  <si>
    <t>A.9 Access control</t>
  </si>
  <si>
    <t>A.9.1 Business requirements of access control</t>
  </si>
  <si>
    <t>A.9.1.1 Access control policy</t>
  </si>
  <si>
    <t>An access control policy shall be established, documented and reviewed based on business and information security requirements.</t>
  </si>
  <si>
    <t xml:space="preserve">Access Policy </t>
  </si>
  <si>
    <t>A.9.1.2 Access to networks and network services</t>
  </si>
  <si>
    <t>Users shall only be provided with access to the network and network services that they have been specifically authorised to use.</t>
  </si>
  <si>
    <t>In place to be reviewed</t>
  </si>
  <si>
    <t xml:space="preserve">IAM Policy </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</si>
  <si>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</si>
  <si>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</si>
  <si>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</si>
  <si>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</si>
  <si>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</si>
  <si>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To be confirmed</t>
  </si>
  <si>
    <t>JML/PAM Policy</t>
  </si>
  <si>
    <t>A.9.2.3 Management of privileged access rights</t>
  </si>
  <si>
    <t>The allocation and use of privileged access rights shall be restricted and controlled.</t>
  </si>
  <si>
    <t>PAM Policy</t>
  </si>
  <si>
    <t>A.9.2.4 Management of secret authentication information of users</t>
  </si>
  <si>
    <t>The allocation of secret authentication information shall be controlled through a formal management process.</t>
  </si>
  <si>
    <t>A.9.2.5 Review of user access rights</t>
  </si>
  <si>
    <t>Asset owners shall review users’ access rights at regular intervals.</t>
  </si>
  <si>
    <t>Not aware of this process needs to be developed</t>
  </si>
  <si>
    <t>Asset Management Policy</t>
  </si>
  <si>
    <t>A.9.2.6 Removal or adjustment of access rights</t>
  </si>
  <si>
    <t>The access rights of all employees and external party users to information and information processing facilities shall be removed upon termination of their employment, contract or agreement, or adjusted upon change.</t>
  </si>
  <si>
    <t>A.9.3 User responsibilities</t>
  </si>
  <si>
    <t>A.9.3.1 Use of secret authentication information</t>
  </si>
  <si>
    <t>Users shall be required to follow the organisation’s practices in the use of secret authentication information.</t>
  </si>
  <si>
    <t>A.9.4 System and application access control</t>
  </si>
  <si>
    <t>A.9.4.1 Information access restriction</t>
  </si>
  <si>
    <t>Access to information and application system functions shall be restricted in accordance with the access control policy.</t>
  </si>
  <si>
    <t>A.9.4.2 Secure log-on procedures</t>
  </si>
  <si>
    <t>Where required by the access control policy, access to systems and applications shall be controlled by a secure log-on procedure.</t>
  </si>
  <si>
    <t>In place to be developed</t>
  </si>
  <si>
    <t>A.9.4.3 Password management system</t>
  </si>
  <si>
    <t>Password management systems shall be interactive and shall ensure quality passwords.</t>
  </si>
  <si>
    <t>In place enforcement required( forced password change)</t>
  </si>
  <si>
    <t>A.9.4.4 Use of privileged utility programs</t>
  </si>
  <si>
    <t>The use of utility programs that might be capable of overriding system and application controls shall be restricted and tightly controlled.</t>
  </si>
  <si>
    <t>A.9.4.5 Access control to program source code</t>
  </si>
  <si>
    <t>Access to program source code shall be restricted.</t>
  </si>
  <si>
    <t>T2</t>
  </si>
  <si>
    <t>Develop Requirements for an Agency wide Access Management System (AMS)</t>
  </si>
  <si>
    <t>A.9.1.1 Access control policy, A.9.2 User access management, A.9.3 User responsibilities, A.9.4 System and application access control</t>
  </si>
  <si>
    <t>Develop Requirements for integration of AMS - including IAM and PAM for monitoring within ISMS</t>
  </si>
  <si>
    <t>Include JML Procedures within AMS</t>
  </si>
  <si>
    <t>Develop Requirements/User Stories AMS and ISMS</t>
  </si>
  <si>
    <t>Organisation Wide AMS</t>
  </si>
  <si>
    <t>Procure AMS</t>
  </si>
  <si>
    <t>3rd party agreement on single point of access control (includes Cloud based apps and environment, JiSC, PC, BYOD and MacBooks)</t>
  </si>
  <si>
    <t>Deploy AMS</t>
  </si>
  <si>
    <t>Integrate AMS Within ISMS</t>
  </si>
  <si>
    <t>Organisation Wide AMS Integrated with ISMS</t>
  </si>
  <si>
    <t>Access Control</t>
  </si>
  <si>
    <t>A.10 Cryptography</t>
  </si>
  <si>
    <t>A.10.1 Cryptographic controls</t>
  </si>
  <si>
    <t>A.10.1.1 Policy on the use of cryptographic controls</t>
  </si>
  <si>
    <t>A policy on the use of cryptographic controls for protection of information shall be developed and implemented.</t>
  </si>
  <si>
    <t>Developed but not active may require review</t>
  </si>
  <si>
    <t>A.10.1.2 Key management</t>
  </si>
  <si>
    <t>A policy on the use, protection and lifetime of cryptographic keys shall be developed and implemented through their whole lifecycle.</t>
  </si>
  <si>
    <t>Cryptography</t>
  </si>
  <si>
    <t>A.11 Physical and environmental security</t>
  </si>
  <si>
    <t>A.11.1 Secure areas</t>
  </si>
  <si>
    <t>A.11.1.1 Physical security perimeter</t>
  </si>
  <si>
    <t>Security perimeters shall be defined and used to protect areas that contain either sensitive or critical information and information processing facilities.</t>
  </si>
  <si>
    <t>To be reviewed</t>
  </si>
  <si>
    <t>Physical Security Procedures</t>
  </si>
  <si>
    <t>A.11.1.2 Physical entry controls</t>
  </si>
  <si>
    <t>Secure areas shall be protected by appropriate entry controls to ensure that only authorised personnel are allowed access.</t>
  </si>
  <si>
    <t>Needs to be reviewed and redevloped not always possible at some locations</t>
  </si>
  <si>
    <t>A.11.1.3 Securing offices, rooms and facilities</t>
  </si>
  <si>
    <t>Physical security for offices, rooms and facilities shall be designed and applied.</t>
  </si>
  <si>
    <t>A.11.1.4 Protecting against external and environmental threats</t>
  </si>
  <si>
    <t>Physical protection against natural disasters, malicious attack or accidents shall be designed and applied.</t>
  </si>
  <si>
    <t>A.11.1.5 Working in secure areas</t>
  </si>
  <si>
    <t>Procedures for working in secure areas shall be designed and applied.</t>
  </si>
  <si>
    <t>A.11.1.6 Delivery and loading areas</t>
  </si>
  <si>
    <t>Access points such as delivery and loading areas and other points where unauthorised persons could enter the premises shall be controlled and, if possible, isolated from information processing facilities to avoid unauthorised access.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</si>
  <si>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</si>
  <si>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</si>
  <si>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</si>
  <si>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</si>
  <si>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</si>
  <si>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Need to be reviewed</t>
  </si>
  <si>
    <t>A.11.2.3 Cabling security</t>
  </si>
  <si>
    <t>Power and telecommunications cabling carrying data or supporting information services shall be protected from interception, interference or damage.</t>
  </si>
  <si>
    <t>A.11.2.4 Equipment maintenance</t>
  </si>
  <si>
    <t>Equipment shall be correctly maintained to ensure its continued availability and integrity.</t>
  </si>
  <si>
    <t>Digital Security Procedures</t>
  </si>
  <si>
    <t>A.11.2.5 Removal of assets</t>
  </si>
  <si>
    <t>Equipment, information or software shall not be taken off-site without prior authorisation.</t>
  </si>
  <si>
    <t>A.11.2.6 Security of equipment and assets off-premises</t>
  </si>
  <si>
    <t>Security shall be applied to off-site assets taking into account the different risks of working outside the organisation’s premises.</t>
  </si>
  <si>
    <t xml:space="preserve">Systems in place needs to be reviewed </t>
  </si>
  <si>
    <t>A.11.2.7 Secure disposal or reuse of equipment</t>
  </si>
  <si>
    <t>All items of equipment containing storage media shall be verified to ensure that any sensitive data and licensed software has been removed or securely overwritten prior to disposal or re-use.</t>
  </si>
  <si>
    <t>A.11.2.8 Unattended user equipment</t>
  </si>
  <si>
    <t>Users shall ensure that unattended equipment has appropriate protection.</t>
  </si>
  <si>
    <t>A.11.2.9 Clear desk and clear screen policy</t>
  </si>
  <si>
    <t>A clear desk policy for papers and removable storage media and a clear screen policy for information processing facilities shall be adopted.</t>
  </si>
  <si>
    <t>Physical Security</t>
  </si>
  <si>
    <t>A.12 Operations security</t>
  </si>
  <si>
    <t>A.12.1 Operational procedures and responsibilities</t>
  </si>
  <si>
    <t>A.12.1.1 Documented operating procedures</t>
  </si>
  <si>
    <t>Operating procedures shall be documented and made available to all users who need them.</t>
  </si>
  <si>
    <t>Service catelogue in development</t>
  </si>
  <si>
    <t>Desktop Instructions</t>
  </si>
  <si>
    <t>A.12.1.2 Change management</t>
  </si>
  <si>
    <t>Changes to the organisation, business processes, information processing facilities and systems that affect information security shall be controlled.</t>
  </si>
  <si>
    <t>Change control procedures exist but partner sites need to be reviewed</t>
  </si>
  <si>
    <t>Change Management Process</t>
  </si>
  <si>
    <t>A.12.1.3 Capacity management</t>
  </si>
  <si>
    <t>The use of resources shall be monitored, tuned and projections made of future capacity requirements to ensure the required system performance.</t>
  </si>
  <si>
    <t>A.12.1.4 Separation of development, testing and operational environments</t>
  </si>
  <si>
    <t>Development, testing, and operational environments shall be separated to reduce the risks of unauthorised access or changes to the operational environment.</t>
  </si>
  <si>
    <t>In place for some systems needs to be reviewed</t>
  </si>
  <si>
    <t>Updated Technical Environment</t>
  </si>
  <si>
    <t>A.12.2 Protection from malware</t>
  </si>
  <si>
    <t>A.12.2.1 Controls against malware</t>
  </si>
  <si>
    <t>Detection, prevention and recovery controls to protect against malware shall be implemented, combined with appropriate user awareness.</t>
  </si>
  <si>
    <t>Process in place needs to be reviewed</t>
  </si>
  <si>
    <t>Certification (CE+)</t>
  </si>
  <si>
    <t>A.12.3 Backup</t>
  </si>
  <si>
    <t>A.12.3.1 Information backup</t>
  </si>
  <si>
    <t>Backup copies of information, software and system images shall be taken and tested regularly in accordance with an agreed backup policy.</t>
  </si>
  <si>
    <t>Back up Procedure</t>
  </si>
  <si>
    <t>A.12.4 Logging and monitoring</t>
  </si>
  <si>
    <t>A.12.4.1 Event logging</t>
  </si>
  <si>
    <t>Event logs recording user activities, exceptions, faults and information security events shall be produced, kept and regularly reviewed.</t>
  </si>
  <si>
    <t>Security Monitoring System</t>
  </si>
  <si>
    <t>A.12.4.2 Protection of log information</t>
  </si>
  <si>
    <t>Logging facilities and log information shall be protected against tampering and unauthorised access.</t>
  </si>
  <si>
    <t>A.12.4.3 Administrator and operator logs</t>
  </si>
  <si>
    <t>System administrator and system operator activities shall be logged and the logs protected and regularly reviewed.</t>
  </si>
  <si>
    <t>A.12.4.4 Clock synchronisation</t>
  </si>
  <si>
    <t>The clocks of all relevant information processing systems within an organisation or security domain shall be synchronised to a single reference time source.</t>
  </si>
  <si>
    <t>A.12.5 Control of operational software</t>
  </si>
  <si>
    <t>A.12.5.1 Installation of software on operational systems</t>
  </si>
  <si>
    <t>Procedures shall be implemented to control the installation of software on operational systems.</t>
  </si>
  <si>
    <t>Process in place documentation to be reviewed</t>
  </si>
  <si>
    <t>Asset Control</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</si>
  <si>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</si>
  <si>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</si>
  <si>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</si>
  <si>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A.12.6.2 Restrictions on software installation</t>
  </si>
  <si>
    <t>Rules governing the installation of software by users shall be established and implemented.</t>
  </si>
  <si>
    <t>A.12.7 Information systems audit considerations</t>
  </si>
  <si>
    <t>A.12.7.1 Information systems audit controls</t>
  </si>
  <si>
    <t>Audit requirements and activities involving verification of operational systems shall be carefully planned and agreed to minimise disruptions to business processes.</t>
  </si>
  <si>
    <t>T3</t>
  </si>
  <si>
    <t>Develop Requirements for an Agency wide Security Information and Event Management System (SIEMS)</t>
  </si>
  <si>
    <t>A.8.1 Responsibility for assets, A.8.1.1 Inventory of assets, A.8.2 Information classification, A.8.3 Media Handling A.9.1.1 Access control policy, A.9.2 User access management, A.9.3 User responsibilities, A.9.4 System and application access control. A.12.1 Operational procedures and responsibilities</t>
  </si>
  <si>
    <t>Develop Requirements for integration of SIEMS for monitoring within ISMS</t>
  </si>
  <si>
    <t>Include Reporting Procedures KPI's within AMS</t>
  </si>
  <si>
    <t>Develop Requirements/User Stories SIEMS and ISMS</t>
  </si>
  <si>
    <t>Procure SIEMS</t>
  </si>
  <si>
    <t>Deploy SIEMS</t>
  </si>
  <si>
    <t>Integrate SIEMS With ISMS</t>
  </si>
  <si>
    <t>Operationa</t>
  </si>
  <si>
    <t>A.13 Communications security</t>
  </si>
  <si>
    <t>A.13.1 Network and cloud security management</t>
  </si>
  <si>
    <t>A.13.1.1 Network/Cloud controls</t>
  </si>
  <si>
    <t>Networks (including Cloud based Virtual Networks) shall be managed and controlled to protect information in systems and applications.</t>
  </si>
  <si>
    <t>A.13.1.2 Security of network
services</t>
  </si>
  <si>
    <t>Security mechanisms, service levels and management requirements of all network/cloud services shall be identified and included in network services agreements, whether these services are provided in-house or outsourced.</t>
  </si>
  <si>
    <t>A.13.1.3 Segregation in networks/cloud environments</t>
  </si>
  <si>
    <t>Groups of information services, users and information systems shall be segregated on networks/cloud environments.</t>
  </si>
  <si>
    <t>A.13.2 Information transfer</t>
  </si>
  <si>
    <t>A.13.2.1 Information transfer policies and procedures</t>
  </si>
  <si>
    <t>Formal transfer policies, procedures and controls shall be in place to protect the transfer of information through the use of all types of communication facilities.</t>
  </si>
  <si>
    <t>A.13.2.2 Agreements on information transfer</t>
  </si>
  <si>
    <t>Agreements shall address the secure transfer of business information between the organisation and external parties.</t>
  </si>
  <si>
    <t>Third party data sharing agreemtent to be reviewed</t>
  </si>
  <si>
    <t>A.13.2.3 Electronic messaging</t>
  </si>
  <si>
    <t>Information involved in electronic messaging shall be appropriately protected.</t>
  </si>
  <si>
    <t>A.13.2.4 Confidentiality or nondisclosure agreements</t>
  </si>
  <si>
    <t>Requirements for confidentiality or non-disclosure agreements reflecting the organisation’s needs for the protection of information shall be identified, regularly reviewed and documented.</t>
  </si>
  <si>
    <t>Communications</t>
  </si>
  <si>
    <t>A.14 System acquisition, development and maintenance</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</si>
  <si>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</si>
  <si>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</si>
  <si>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</si>
  <si>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3rd Party Management Procedures</t>
  </si>
  <si>
    <t>A.14.1.2 Securing application
services on public
networks</t>
  </si>
  <si>
    <t>Information involved in application services passing over public networks shall be protected from fraudulent activity, contract dispute and unauthorised disclosure and modification.</t>
  </si>
  <si>
    <t>Needs to be reviewed and developed</t>
  </si>
  <si>
    <t>Monitoring Policy and Procedures</t>
  </si>
  <si>
    <t>A.14.1.3 Protecting application
services transactions</t>
  </si>
  <si>
    <t>Information involved in application service transactions shall be protected to prevent incomplete transmission, mis-routing, unauthorised message alteration, unauthorised disclosure, unauthorised message duplication or replay</t>
  </si>
  <si>
    <t>A.14.2 Security in development and support processes</t>
  </si>
  <si>
    <t>A.14.2.1 Secure development policy</t>
  </si>
  <si>
    <t>Rules for the development of software and systems shall be established and applied to developments within the organisation.</t>
  </si>
  <si>
    <t>Build standards</t>
  </si>
  <si>
    <t>A.14.2.2 System change control procedures</t>
  </si>
  <si>
    <t>Changes to systems within the development lifecycle shall be controlled by the use of formal change control procedures.</t>
  </si>
  <si>
    <t>Change control in place needs to be reviewed at partner sites</t>
  </si>
  <si>
    <t>Change Control Policy</t>
  </si>
  <si>
    <t>A.14.2.3 Technical review of applications after operating platform changes</t>
  </si>
  <si>
    <t>When operating platforms are changed, business critical applications shall be reviewed and tested to ensure there is no adverse impact on organisational operations or security.</t>
  </si>
  <si>
    <t>Technical/Code review</t>
  </si>
  <si>
    <t>A.14.2.4 Restrictions on changes to software packages</t>
  </si>
  <si>
    <t>Modifications to software packages shall be discouraged, limited to necessary changes and all changes shall be strictly controlled.</t>
  </si>
  <si>
    <t>A.14.2.5 Secure system engineering principles</t>
  </si>
  <si>
    <t>Principles for engineering secure systems shall be established, documented, maintained and applied to any information system implementation efforts.</t>
  </si>
  <si>
    <t>ITHC</t>
  </si>
  <si>
    <t>A.14.2.6 Secure development environment</t>
  </si>
  <si>
    <t>Organisations shall establish and appropriately protect secure development environments for system development and integration efforts that cover the entire system development lifecycle.</t>
  </si>
  <si>
    <t>A.14.2.7 Outsourced development</t>
  </si>
  <si>
    <t>The organisation shall supervise and monitor the activity of outsourced system development.</t>
  </si>
  <si>
    <t>All policies and procedures in section 14</t>
  </si>
  <si>
    <t>A.14.2.8 System security testing</t>
  </si>
  <si>
    <t>Testing of security functionality shall be carried out during development.</t>
  </si>
  <si>
    <t>A.14.2.9 System acceptance testing</t>
  </si>
  <si>
    <t>Acceptance testing programs and related criteria shall be established for new information systems, upgrades and new versions.</t>
  </si>
  <si>
    <t>ITHC/User stories/Acceptance criteria</t>
  </si>
  <si>
    <t>A.14.3 Test data</t>
  </si>
  <si>
    <t>A.14.3.1 Protection of test data</t>
  </si>
  <si>
    <t>Test data shall be selected carefully, protected and controlled.</t>
  </si>
  <si>
    <t>Test control procedure</t>
  </si>
  <si>
    <t>System Management</t>
  </si>
  <si>
    <t>A.15 Supplier relationships</t>
  </si>
  <si>
    <t>A.15.1 Information security in supplier relationships</t>
  </si>
  <si>
    <t>A.15.1.1 Information security policy for supplier relationships</t>
  </si>
  <si>
    <t>Information security requirements for mitigating the risks associated with supplier’s access to the organisation’s assets shall be agreed with the supplier and documented.</t>
  </si>
  <si>
    <t>Linked to APUC needs to be reviewed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</si>
  <si>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</si>
  <si>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</si>
  <si>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SLA</t>
  </si>
  <si>
    <t>A.15.1.3 Information and communication technology supply chain</t>
  </si>
  <si>
    <t>Agreements with suppliers shall include requirements to address the information security risks associated with information and communications technology services and product supply chain.</t>
  </si>
  <si>
    <t>A.15.2 Supplier service delivery management</t>
  </si>
  <si>
    <t>A.15.2.1 Monitoring and review of supplier services</t>
  </si>
  <si>
    <t>Organisations shall regularly monitor, review and audit supplier service delivery.</t>
  </si>
  <si>
    <t>A.15.2.2 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</si>
  <si>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</si>
  <si>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Change Management Policy/Procedures</t>
  </si>
  <si>
    <t>Suppliers</t>
  </si>
  <si>
    <t>A.16 Information security incident management</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</si>
  <si>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</si>
  <si>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</si>
  <si>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</si>
  <si>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Incident Reporting Procedures and Communications. SMS and ISMS Requirements</t>
  </si>
  <si>
    <t>A.16.1.2 Reporting information security events</t>
  </si>
  <si>
    <t>Information security events shall be reported through appropriate management channels as quickly as possible.</t>
  </si>
  <si>
    <t>Incident Reporting Procedures</t>
  </si>
  <si>
    <t>A.16.1.3 Reporting information security weaknesses</t>
  </si>
  <si>
    <t>Employees and contractors using the organisation’s information systems and services shall be required to note and report any observed or suspected information security weaknesses in systems or services.</t>
  </si>
  <si>
    <t>A.16.1.4 Assessment of and decision on information security events</t>
  </si>
  <si>
    <t>Information security events shall be assessed and it shall be decided if they are to be classified as information security incidents.</t>
  </si>
  <si>
    <t>A.16.1.5 Response to information security incidents</t>
  </si>
  <si>
    <t>Information security incidents shall be responded to in accordance with the documented procedures.</t>
  </si>
  <si>
    <t>Incident Reporting SLA</t>
  </si>
  <si>
    <t>A.16.1.6 Learning from information security incidents</t>
  </si>
  <si>
    <t>Knowledge gained from analysing and resolving information security incidents shall be used to reduce the likelihood or impact of future incidents.</t>
  </si>
  <si>
    <t>A.16.1.7 Collection of evidence</t>
  </si>
  <si>
    <t>The organisation shall define and apply procedures for the identification, collection, acquisition and preservation of information, which can serve as evidence.</t>
  </si>
  <si>
    <t>Incident Management</t>
  </si>
  <si>
    <t>A.17 Information security aspects of business continuity management</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</si>
  <si>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</si>
  <si>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</si>
  <si>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</si>
  <si>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The University and pertners are developing a BC plan that includes IT security</t>
  </si>
  <si>
    <t>Organisational Business Continuity Plans</t>
  </si>
  <si>
    <t>Business Continuity Plan</t>
  </si>
  <si>
    <t>A.17.1.2 Implementing information security continuity</t>
  </si>
  <si>
    <t>The organisation shall establish, document, implement and maintain processes, procedures and controls to ensure the required level of continuity for information security during an adverse situation.</t>
  </si>
  <si>
    <t>Security Business Continuity Plan</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</si>
  <si>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</si>
  <si>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</si>
  <si>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Regulare exercises are planned</t>
  </si>
  <si>
    <t>Updated Business Continuity Plans</t>
  </si>
  <si>
    <t>A.17.2 Redundancies</t>
  </si>
  <si>
    <t>A.17.2.1 Availability of information processing facilities</t>
  </si>
  <si>
    <t>Information processing facilities shall be implemented with redundancy sufficient to meet availability requirements.</t>
  </si>
  <si>
    <t>Back Up/Recovery Plans and Schedule</t>
  </si>
  <si>
    <t>Business Continuity</t>
  </si>
  <si>
    <t>A.18 Compliance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</si>
  <si>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</si>
  <si>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</si>
  <si>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</si>
  <si>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A.18.1.2 Intellectual property rights</t>
  </si>
  <si>
    <t>Appropriate procedures shall be implemented to ensure compliance with legislative, regulatory and contractual requirements related to intellectual property rights and use of proprietary software products.</t>
  </si>
  <si>
    <t>A.18.1.3 Protection of records</t>
  </si>
  <si>
    <t>Records shall be protected from loss, destruction, falsification, unauthorised access and unauthorised release, in accordance with legislative, regulatory, contractual and business requirements.</t>
  </si>
  <si>
    <t>A.18.1.4 Privacy and protection of personally identifiable information</t>
  </si>
  <si>
    <t>Privacy and protection of personally identifiable information shall be ensured as required in relevant legislation and regulation where applicable.</t>
  </si>
  <si>
    <t>DPIA</t>
  </si>
  <si>
    <t>A.18.1.5 Regulation of cryptographic controls</t>
  </si>
  <si>
    <t>Cryptographic controls shall be used in compliance with all relevant agreements, legislation and regulations.</t>
  </si>
  <si>
    <t>A.18.2 Information security reviews</t>
  </si>
  <si>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</si>
  <si>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</si>
  <si>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Internal/External audit</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</si>
  <si>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</si>
  <si>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</si>
  <si>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t>A.18.2.3 Technical compliance review</t>
  </si>
  <si>
    <t>Information systems shall be regularly reviewed for compliance with the organisation’s information security policies and standards.</t>
  </si>
  <si>
    <t>Compliance</t>
  </si>
  <si>
    <t>T4</t>
  </si>
  <si>
    <t xml:space="preserve">Develop Requirements for an Agency wide ISMS Covering JiSC, Cloud, PC, BYOD and MacBook Estates </t>
  </si>
  <si>
    <t>Programme</t>
  </si>
  <si>
    <t>*Parallel Procurement/Requirements definition. Projects T1, T2, T3. Security Policy Framework</t>
  </si>
  <si>
    <t>Develop Requirements for integration of SPF, Asset register, Access Management System and Incident Monitoring Systems for interoperability within ISMS</t>
  </si>
  <si>
    <t>Include Information and Reporting management Requirements within ISMS</t>
  </si>
  <si>
    <t>Develop Requirements/User Stories for ISMS</t>
  </si>
  <si>
    <t>Organisation Wide ISMS Requirements</t>
  </si>
  <si>
    <t>Procure ISMS</t>
  </si>
  <si>
    <t xml:space="preserve">Organisation Wide ISMS </t>
  </si>
  <si>
    <t>Maturity Rating</t>
  </si>
  <si>
    <t>Overall Security Maturity Rating:</t>
  </si>
  <si>
    <t>average</t>
  </si>
  <si>
    <t>Average Scores</t>
  </si>
  <si>
    <t xml:space="preserve">                        Security Control and Target Levels (Main + ISO)</t>
  </si>
  <si>
    <t>Overall Maturity Rating</t>
  </si>
  <si>
    <t>01. Organisational Governance</t>
  </si>
  <si>
    <t>MANAGE</t>
  </si>
  <si>
    <t>1.1 Governance framework</t>
  </si>
  <si>
    <t xml:space="preserve">You have effective organisational security management led at board level and articulated clearly in corresponding policies. </t>
  </si>
  <si>
    <t>1.2 Leadership &amp; responsibility</t>
  </si>
  <si>
    <t xml:space="preserve">There is a board-level individual who has overall accountability for the security of networks and information systems. </t>
  </si>
  <si>
    <t>1.3 Adoption of assurance standards</t>
  </si>
  <si>
    <t xml:space="preserve">There is demonstrable confidence in the effectiveness of the security of the organisations technology, people and processes. </t>
  </si>
  <si>
    <t>1.4 Information Asset Register</t>
  </si>
  <si>
    <t xml:space="preserve">There is a catalogue of sensitive information and data, stored with appropriate management procedures. </t>
  </si>
  <si>
    <t>1.5 Audit/assurance compliance</t>
  </si>
  <si>
    <t xml:space="preserve">There are in place procedures to provide assurance on the security of systems and services. </t>
  </si>
  <si>
    <t>02. Risk Management</t>
  </si>
  <si>
    <t>2.1 Risk management policy &amp; process</t>
  </si>
  <si>
    <t>2.2 Cyber / Information Risk Assessment</t>
  </si>
  <si>
    <t>2.3 Risk treatment &amp; tolerance</t>
  </si>
  <si>
    <t>2.4 Risk governance</t>
  </si>
  <si>
    <t>03. Supplier Management</t>
  </si>
  <si>
    <t>3.1 Supply chain security assurance &amp; management</t>
  </si>
  <si>
    <t>3.2 Roles &amp; responsibilities defined</t>
  </si>
  <si>
    <t>3.3 Access control</t>
  </si>
  <si>
    <t>3.4 Security in system procurements</t>
  </si>
  <si>
    <t>04. Asset Management</t>
  </si>
  <si>
    <t>4.1 Hardware assets register &amp; management</t>
  </si>
  <si>
    <t>4.2 Software assets register &amp; management</t>
  </si>
  <si>
    <t>4.3 Infrastructure management</t>
  </si>
  <si>
    <t>05. Information Security Management</t>
  </si>
  <si>
    <t>PROTECT</t>
  </si>
  <si>
    <t>5.1 Security policy &amp; processes</t>
  </si>
  <si>
    <t>5.2 Lifecycle management</t>
  </si>
  <si>
    <t>5.3 Storage</t>
  </si>
  <si>
    <t>5.4 Information/data classification</t>
  </si>
  <si>
    <t>5.5 Information assets register</t>
  </si>
  <si>
    <t>5.6 Information/data transfer controls</t>
  </si>
  <si>
    <t>06. People</t>
  </si>
  <si>
    <t>6.1 Prior to employment</t>
  </si>
  <si>
    <t>6.2 During employment</t>
  </si>
  <si>
    <t>6.3 Staff training &amp; awareness culture</t>
  </si>
  <si>
    <t>6.4 Staff skills assessment</t>
  </si>
  <si>
    <t>6.5 Mobile/remote working policy</t>
  </si>
  <si>
    <t>07. Service Resilience</t>
  </si>
  <si>
    <t>7.1 Services Resilience</t>
  </si>
  <si>
    <t>08. Access Control</t>
  </si>
  <si>
    <t>8.1 Account management</t>
  </si>
  <si>
    <t>8.2 Identity authentication</t>
  </si>
  <si>
    <t>8.3 Privilege management</t>
  </si>
  <si>
    <t>8.4 Administrator account management</t>
  </si>
  <si>
    <t>09. Media Management</t>
  </si>
  <si>
    <t>9.1 Storage media management</t>
  </si>
  <si>
    <t>9.2 Mobile media/devices</t>
  </si>
  <si>
    <t>9.3 Cryptography</t>
  </si>
  <si>
    <t>9.4 Remote wipe capability</t>
  </si>
  <si>
    <t>10. Environmental Security</t>
  </si>
  <si>
    <t>10.1 Equipment location</t>
  </si>
  <si>
    <t>10.2 Power resilience</t>
  </si>
  <si>
    <t>11. Physical Building Security</t>
  </si>
  <si>
    <t>11.1 Access control</t>
  </si>
  <si>
    <t>11.2 Internal security</t>
  </si>
  <si>
    <t>12. System Management</t>
  </si>
  <si>
    <t xml:space="preserve">12.1 Secure configuration  </t>
  </si>
  <si>
    <t>12.2 Secure design/development</t>
  </si>
  <si>
    <t>12.3 Change control procedures</t>
  </si>
  <si>
    <t>12.4 System Testing</t>
  </si>
  <si>
    <t>13. Operational Security</t>
  </si>
  <si>
    <t>13.1 Malware policies &amp; protection</t>
  </si>
  <si>
    <t>13.2 Email security</t>
  </si>
  <si>
    <t>13.3 Application security</t>
  </si>
  <si>
    <t>13.4 Vulnerability management &amp; scanning</t>
  </si>
  <si>
    <t>13.5 Data exfiltration monitoring</t>
  </si>
  <si>
    <t>13.6 Software supported &amp; updated</t>
  </si>
  <si>
    <t>13.7 Web site screening</t>
  </si>
  <si>
    <t>13.8 Browser management</t>
  </si>
  <si>
    <t>13.9 Monitor/audit user activity</t>
  </si>
  <si>
    <t>13.10 Disabled auto-run</t>
  </si>
  <si>
    <t>14. Network Security</t>
  </si>
  <si>
    <t>14.1 Patch management</t>
  </si>
  <si>
    <t>14.2 Device management</t>
  </si>
  <si>
    <t>14.3 Content screening</t>
  </si>
  <si>
    <t>14.4 Internal segregation</t>
  </si>
  <si>
    <t>14.5 Wireless security</t>
  </si>
  <si>
    <t>14.6 Boundary/Firewall management</t>
  </si>
  <si>
    <t>14.7 Administrator control</t>
  </si>
  <si>
    <t>14.8 Error message management</t>
  </si>
  <si>
    <t>14.9 Penetration testing</t>
  </si>
  <si>
    <t>14.10 IP &amp; DNS management</t>
  </si>
  <si>
    <t>15. Incident Detection</t>
  </si>
  <si>
    <t>DETECT</t>
  </si>
  <si>
    <t>15.1 Detection capability</t>
  </si>
  <si>
    <t>15.2 Security Monitoring</t>
  </si>
  <si>
    <t>16. Incident Management</t>
  </si>
  <si>
    <t>RESPOND &amp; RECOVER</t>
  </si>
  <si>
    <t>16.1 Incident response protocol</t>
  </si>
  <si>
    <t>16.2 Incident reporting procedure</t>
  </si>
  <si>
    <t>16.3 Staff training &amp; testing</t>
  </si>
  <si>
    <t>16.4 Post-incident review &amp; learning</t>
  </si>
  <si>
    <t>17. Business Continuity</t>
  </si>
  <si>
    <t>17.1 Data recover capability</t>
  </si>
  <si>
    <t>17.2 Back up policies &amp; procedures</t>
  </si>
  <si>
    <t>17.3 Disaster recovery policies &amp; procedures</t>
  </si>
  <si>
    <t>17.4 BC/DR testing policies &amp; procedures</t>
  </si>
  <si>
    <t>17.5 Data Loss impact assessments</t>
  </si>
  <si>
    <t>17.6 BC contingency plan</t>
  </si>
  <si>
    <t>Mean Scores</t>
  </si>
  <si>
    <t>Mean Maturity Scores</t>
  </si>
  <si>
    <t>Control Area</t>
  </si>
  <si>
    <t>Maturity Levels: CRF</t>
  </si>
  <si>
    <t>Your organisation has effective internal processes that manage and mitigate risks to the security of network and information systems and services.</t>
  </si>
  <si>
    <t xml:space="preserve">The organisation has effective and robust risk assessment methodology and processes that identify and prioritise threats and vulnerabilities. </t>
  </si>
  <si>
    <t xml:space="preserve">The organisation has risk treatment policies and procedures in place with defined risk appetite and mitigation controls documented. </t>
  </si>
  <si>
    <t xml:space="preserve">Risks to network and information systems are effectively managed, communicated, and regularly considered throughout the organisation and led by senior management. </t>
  </si>
  <si>
    <t xml:space="preserve">The organisation has a deep understanding of the security provisions and assurances around systems and services provided by third parties and their supply chain. </t>
  </si>
  <si>
    <t>The organisation has defined the respective duties and responsibilities of third-party suppliers and the supply chain and these are understand and agreed by all parties.</t>
  </si>
  <si>
    <t xml:space="preserve">There is visibility and control on third-party users (or automated functions) that can access organisational systems, services, data and information data and these are appropriately verified, authenticated and authorised. </t>
  </si>
  <si>
    <t xml:space="preserve">The organisation has security embedded within procurement procedures. </t>
  </si>
  <si>
    <t>The organisation has visibility and effective management of all hardware assets</t>
  </si>
  <si>
    <t xml:space="preserve">The organisation has visibility and effective management of all software assets. </t>
  </si>
  <si>
    <t xml:space="preserve">The organisation recognises critical infrastructure assets and dependencies. </t>
  </si>
  <si>
    <t xml:space="preserve">The organisation has developed and continues to improve a set of protection policies and processes that manage and mitigate the risk of security-related service disruption or data loss. </t>
  </si>
  <si>
    <t>Information assets are managed throughout their lifecycle, from creation through to eventual decommissioning or disposal.</t>
  </si>
  <si>
    <t xml:space="preserve">The organisation knows where data and information are stored and has security in place whether on premise, mobile, removable or cloud based storage is employed. </t>
  </si>
  <si>
    <t xml:space="preserve">Information is classified in terms of legal requirements, value, criticality and sensitivity to unauthorised disclosure or modification, to ensure it receives an appropriate level of protection in accordance with its importance to the organization. </t>
  </si>
  <si>
    <t xml:space="preserve">Data and information assets are identified and an inventory of these assets is created and maintained. </t>
  </si>
  <si>
    <t xml:space="preserve">The organisation has an understanding of information / data flows including the transfer of data to third parties and the associated security protocols that are in place. </t>
  </si>
  <si>
    <t xml:space="preserve">Employees and contractors understand their responsibilities and are suitable for the roles for which they are considered. </t>
  </si>
  <si>
    <t xml:space="preserve">Staff and contractors are aware of and fulfil their information and cyber security responsibilities. </t>
  </si>
  <si>
    <t xml:space="preserve">All employees and contractors receive appropriate awareness education and training with regular assessments and updates as relevant for their job function. </t>
  </si>
  <si>
    <t xml:space="preserve">Staff, including SMT and board members, are appropriately trained in cyber security and risk assessment.  </t>
  </si>
  <si>
    <t xml:space="preserve">The organisation has in place policies and security measures to manage the risks introduced by people using mobile devices and remote working. </t>
  </si>
  <si>
    <t xml:space="preserve">Systems are appropriately segregated and resource limitations are mitigated. </t>
  </si>
  <si>
    <t xml:space="preserve">User accounts are effectively managed throughout their lifecycle to provide minimum access to sensitive information or key operational services. </t>
  </si>
  <si>
    <t>Procedures are in place to verify, authenticate and authorise access to the organisational networks and information systems.</t>
  </si>
  <si>
    <t xml:space="preserve">The allocation and use of privileged access rights to networks and information systems is restricted and controlled. </t>
  </si>
  <si>
    <t>System administrator accounts are controlled and monitored with the activity logs protected and regularly reviewed.</t>
  </si>
  <si>
    <t xml:space="preserve">Policies and procedures are in place to protect stored data and prevent unauthorised disclosure, modification, removal or destruction of information stored on media. </t>
  </si>
  <si>
    <t xml:space="preserve">The organisation can identify and account for all mobile end-user devices and removable media and monitors the data protection measures that are in place on mobile devices. </t>
  </si>
  <si>
    <t xml:space="preserve">There is proper and effective use of cryptography to protect the confidentiality, authenticity and/or integrity of information at rest, in transit and on mobile devices or removable media. </t>
  </si>
  <si>
    <t xml:space="preserve">The organisation has the ability to remotely wipe and/or revoke access from an end user device. </t>
  </si>
  <si>
    <t xml:space="preserve">Equipment shall be sited and protected to reduce environmental impacts on information systems and service delivery. </t>
  </si>
  <si>
    <t xml:space="preserve">Equipment shall be protected from power failures and other disruptions caused by failures in supporting utilities. </t>
  </si>
  <si>
    <t>Building and secure areas access shall be protected by appropriate entry controls to ensure that only authorised personnel are allowed admittance.</t>
  </si>
  <si>
    <t xml:space="preserve">Internal security perimeters shall be defined with policies and active alerting systems used to protect areas that contain sensitive data, critical information and essential information systems. </t>
  </si>
  <si>
    <t xml:space="preserve">The network and information systems that support the delivery of essential services are securely configured. </t>
  </si>
  <si>
    <t>Information security is designed and implemented within the development lifecycle of information systems and networks.</t>
  </si>
  <si>
    <t xml:space="preserve">Changes to systems and software configurations are controlled by formal change control procedures. </t>
  </si>
  <si>
    <t>Testing of security functionality shall be carried out during development of new systems, upgrades and new versions or configurations.</t>
  </si>
  <si>
    <t xml:space="preserve">Detection, prevention and recovery controls to protect against malware shall be implemented. </t>
  </si>
  <si>
    <t xml:space="preserve">Information involved in electronic messaging shall be appropriately protected. </t>
  </si>
  <si>
    <t>Applications are tested for susceptibility to security vulnerabilities on development and following system changes.</t>
  </si>
  <si>
    <t xml:space="preserve">Network and information systems are managed to prevent exploitation of technical vulnerabilities. </t>
  </si>
  <si>
    <t xml:space="preserve">Network traffic is monitored to identify unusual activity. </t>
  </si>
  <si>
    <t xml:space="preserve">Operating systems and software packages are patched regularly and in vendor support. </t>
  </si>
  <si>
    <t xml:space="preserve">Malware protection software should prevent connections to malicious websites. </t>
  </si>
  <si>
    <t xml:space="preserve">Web browsers should be configured to minimise security vulnerabilities and risk. </t>
  </si>
  <si>
    <t>User access and activity are monitored to identify unauthorised access attempts, policy violations and unusual behaviour.</t>
  </si>
  <si>
    <t>The auto-run feature should be disabled to prevent software programs automatically running.</t>
  </si>
  <si>
    <t>Operating systems and software packages on networks and devices are kept up-to-date with the latest security patches installed.</t>
  </si>
  <si>
    <t xml:space="preserve">Devices that are used to access organisational networks, information systems and data are known and recorded with integrated security management policies and systems. </t>
  </si>
  <si>
    <t xml:space="preserve">Content-based attacks are mitigated with inbound and outbound screening. </t>
  </si>
  <si>
    <t>Networks and information systems are segregated into appropriate security zones. [</t>
  </si>
  <si>
    <t xml:space="preserve">Wireless access points should be securely configured and segregated as appropriate. </t>
  </si>
  <si>
    <t>Manage access to ports, protocols and applications by filtering and inspecting all traffic at the network perimeter.</t>
  </si>
  <si>
    <t xml:space="preserve">System administrators are strongly authenticated and authorisation is reviewed. </t>
  </si>
  <si>
    <t xml:space="preserve">Error messages do not contain sensitive information that could compromise systems. </t>
  </si>
  <si>
    <t xml:space="preserve">Network and application penetration tests are performed on a regular basis and following systems change. </t>
  </si>
  <si>
    <t xml:space="preserve">Organisational IP ranges are known, recorded and managed; DNS changes and queries are effectively managed. </t>
  </si>
  <si>
    <t>Attempts to access or compromise systems are alerted, promptly assessed and investigated. [</t>
  </si>
  <si>
    <t xml:space="preserve">Risk-based organisational monitoring policy and procedures are in place for the timely identification of security events. </t>
  </si>
  <si>
    <t xml:space="preserve">A risk-based and up-to-date incident response plan is in place. </t>
  </si>
  <si>
    <t xml:space="preserve">Security events are reported through defined procedures known to staff. </t>
  </si>
  <si>
    <t xml:space="preserve">Staff are trained in incident response with assigned roles and responsibilities and the organisation carries out exercises to test response plans. </t>
  </si>
  <si>
    <t xml:space="preserve">The organisation reviews incidents and uses lessons learned from incidents to improve security measures. </t>
  </si>
  <si>
    <t xml:space="preserve">Recovery controls are in place and tested to protect against information /data being lost or compromised. </t>
  </si>
  <si>
    <t>Backup copies of information, software and system images shall be taken and tested regularly.</t>
  </si>
  <si>
    <t xml:space="preserve">The organisation has well defined and tested processes in place to ensure the continuity of key operational services in the event of failure or compromise. </t>
  </si>
  <si>
    <t xml:space="preserve">Scenario-based exercises and processes to test recovery response plans are planned and performed. </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</si>
  <si>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</si>
  <si>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t xml:space="preserve">Contingency mechanisms are in place to continue to deliver services in the event of any failure or compromise of any system or service. </t>
  </si>
  <si>
    <t>Control: Maturity Score Baseline</t>
  </si>
  <si>
    <t>Current Maturity Score</t>
  </si>
  <si>
    <t>All</t>
  </si>
  <si>
    <t>Overall Mean Security Maturity Improvement</t>
  </si>
  <si>
    <t>Area</t>
  </si>
  <si>
    <t>Improvement</t>
  </si>
  <si>
    <t>Category</t>
  </si>
  <si>
    <t>Security Maturity Summary: By Section (Average Score)</t>
  </si>
  <si>
    <t>CRF Assessment Status</t>
  </si>
  <si>
    <t>Step Title</t>
  </si>
  <si>
    <t>Ten Steps: Security Maturity Charts</t>
  </si>
  <si>
    <t>Secure Configuration</t>
  </si>
  <si>
    <t>Network Configuration</t>
  </si>
  <si>
    <t>User Privileges</t>
  </si>
  <si>
    <t>User Education</t>
  </si>
  <si>
    <t>Malware Prevention</t>
  </si>
  <si>
    <t>Monitoring</t>
  </si>
  <si>
    <t>Removable Media</t>
  </si>
  <si>
    <t>Mobile Working</t>
  </si>
  <si>
    <t>Current maturity Score</t>
  </si>
  <si>
    <t>Advanced</t>
  </si>
  <si>
    <t>Partial Advanced</t>
  </si>
  <si>
    <t>Target</t>
  </si>
  <si>
    <t>Partial Target</t>
  </si>
  <si>
    <t>Baseline</t>
  </si>
  <si>
    <t>CRF Assessment Status Table</t>
  </si>
  <si>
    <t>Partial Baseline</t>
  </si>
  <si>
    <t>Domain</t>
  </si>
  <si>
    <t>Requirement</t>
  </si>
  <si>
    <t>Status</t>
  </si>
  <si>
    <t>Comment</t>
  </si>
  <si>
    <t>Action</t>
  </si>
  <si>
    <t>Owner</t>
  </si>
  <si>
    <t>Current Maturity</t>
  </si>
  <si>
    <t>Target Maturity</t>
  </si>
  <si>
    <t>Manage</t>
  </si>
  <si>
    <t>Organisational Governance</t>
  </si>
  <si>
    <t>Governance Framework</t>
  </si>
  <si>
    <t>There is a Board/Senior Management-level commitment to manage the risks arising from the cyber threat.</t>
  </si>
  <si>
    <t>Incomplete</t>
  </si>
  <si>
    <t>There are appropriate data protection and information security policies and processes in place to direct the organisation’s overall approach to cyber security.</t>
  </si>
  <si>
    <t>Personal data processed is catalogued and the purpose for processing it is defined and described.</t>
  </si>
  <si>
    <t>There are clear lines of responsibility and accountability to named individuals for the security of sensitive information and key operational services.</t>
  </si>
  <si>
    <t>Senior accountable individuals have received appropriate training and guidance on cyber security and risk management.</t>
  </si>
  <si>
    <t>There is a culture of awareness and education about cyber security across the organisation.</t>
  </si>
  <si>
    <t>Significant risks to sensitive information and key operational services have been identified and are managed.</t>
  </si>
  <si>
    <t>The security issues that arise because of dependencies on external suppliers or through the supply chain are detailed, organised and managed.</t>
  </si>
  <si>
    <t>Leadership &amp; responsibility</t>
  </si>
  <si>
    <t>A named Board and Senior Management member of staff have been identified as responsible for organisational cyber resilience arrangements.</t>
  </si>
  <si>
    <t>There are clear lines of responsibility and accountability to named individuals for the cyber resilience of sensitive information and key operational services, which have been defined and understood.</t>
  </si>
  <si>
    <t xml:space="preserve">There is a written information security policy in place, which is championed by senior management. </t>
  </si>
  <si>
    <t>There is regular staff training in cyber security and information risk management.</t>
  </si>
  <si>
    <t>Direction set at board level is translated into effective organisational practices that direct and control the security of the organisation’s networks and information systems.</t>
  </si>
  <si>
    <t>The board shall ensure that the organisation has planned and budgeted for adequate resources for the delivery, maintenance and improvement of cyber resilience and network and information security, and that these activities are supported by senior management.</t>
  </si>
  <si>
    <t>The organisation has established roles and responsibilities for the security of networks and information systems at all levels.</t>
  </si>
  <si>
    <t>There are clear and well-understood channels for communicating and escalating risks.</t>
  </si>
  <si>
    <t>There is senior-level accountability for the security of networks and information systems with delegated decision-making authority.</t>
  </si>
  <si>
    <t>Adoption of assurance standards</t>
  </si>
  <si>
    <t xml:space="preserve">There is demonstrable and appropriate independent assurance that the five critical network controls of Cyber Essentials are in place:
a)	firewalls
b)	secure configuration 
c)	user access control
d)	malware protection 
e)	patch management </t>
  </si>
  <si>
    <t>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t>
  </si>
  <si>
    <t>Security as it relates to technology, people, and processes can be demonstrated and verified by a third party audit.</t>
  </si>
  <si>
    <t>There are procedures to ensure security measures that are in place to protect the networks and information systems are effective, and remain effective for the service lifetime.</t>
  </si>
  <si>
    <t>The assurance methods available are recognised and appropriate methods to gain confidence in the security of essential services are adopted and implemented.</t>
  </si>
  <si>
    <t>Information Asset Register</t>
  </si>
  <si>
    <t>Key information assets have been identified and recorded.</t>
  </si>
  <si>
    <t>Key information assets have been assessed for their vulnerability to cyber-attack.</t>
  </si>
  <si>
    <t>Organisations shall know and record:
a)	What sensitive information they hold or process
b)	Why they hold or process that information
c)	Where the information is held
d)	Which computer systems or services process it
e)	The impact of its loss, compromise or disclosure</t>
  </si>
  <si>
    <t xml:space="preserve">Assets associated with information and information processing have been identified </t>
  </si>
  <si>
    <t>An inventory of these assets has been established and is maintained through recognised process.</t>
  </si>
  <si>
    <t>Assets maintained in the inventory have ascribed owners.</t>
  </si>
  <si>
    <t>Audit/assurance compliance</t>
  </si>
  <si>
    <t>There is demonstrable and appropriate independent assurance that the five critical network controls of Cyber Essentials are in place:
a)	firewalls
b)	secure configuration 
c)	user access control
d)	malware protection 
e)	patch management</t>
  </si>
  <si>
    <t>PSN</t>
  </si>
  <si>
    <t>You must implement regular IT Health Checks and ensure the IA conditions of the PSN Code of Connection are met.</t>
  </si>
  <si>
    <t>Managers regularly review the compliance of information processing and procedures within their area of responsibility with the appropriate security policies, standards and any other security requirements.</t>
  </si>
  <si>
    <t>Risk Management</t>
  </si>
  <si>
    <t>Policy &amp; Processes</t>
  </si>
  <si>
    <t>There are information risk management policies and assessment procedures in place.</t>
  </si>
  <si>
    <t>Organisations shall identify and manage the significant risks to sensitive information and key operational services.</t>
  </si>
  <si>
    <t>Senior management and boards regularly review the organisational cyber risks and threats.</t>
  </si>
  <si>
    <t>The organisational process ensures that security risks to networks and information systems relevant to essential services are identified, analysed, prioritised, and managed.</t>
  </si>
  <si>
    <t>Risk owners are identified.</t>
  </si>
  <si>
    <t>The output from the risk management process is a clear set of security requirements that will address the risks in line with the organisational approach to security.</t>
  </si>
  <si>
    <t>Significant conclusions reached in the course of the risk management process are communicated to key security decision-makers and accountable individuals.</t>
  </si>
  <si>
    <t>The effectiveness of the risk management process is reviewed periodically and improvements made as required.</t>
  </si>
  <si>
    <t>Cyber / Information Risk Assessment</t>
  </si>
  <si>
    <t>Key information and IT assets have been identified, risk assessed and prioritised for their vulnerability to cyber-attack.</t>
  </si>
  <si>
    <t>Organisations should establish a process to identify security vulnerabilities and rank them according to their level of risk.</t>
  </si>
  <si>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</si>
  <si>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The criteria for performing risk assessments are well defined to ensure risk assessments produce consistent, valid and comparable results.</t>
  </si>
  <si>
    <t>The risk assessments are based on a clearly articulated set of threat assumptions; these are kept up-to-date through an understanding of changing security threats.</t>
  </si>
  <si>
    <t>Risk assessments are conducted when significant events potentially affect the essential service, such as replacing a system or a change in the cyber security threat.</t>
  </si>
  <si>
    <t>The risk assessments are dynamic and are updated in the light of relevant changes, which may include technical changes to networks and information systems, change of use and new threat information.</t>
  </si>
  <si>
    <t>Risk Treatment &amp; Tolerance</t>
  </si>
  <si>
    <t>Key information and IT assets have been identified, thoroughly risk assessed and prioritised for their vulnerability to cyber-attack.</t>
  </si>
  <si>
    <t>The information and cyber risk that the organisation is prepared to tolerate is defined, understood and communicated.</t>
  </si>
  <si>
    <t>A risk appetite statement shall be produced and used to guide risk management decisions.</t>
  </si>
  <si>
    <t>The organization shall define and apply an information security risk treatment process that identifies appropriate risk treatment options and associated mitigation controls.</t>
  </si>
  <si>
    <t>A risk treatment plan shall be produced</t>
  </si>
  <si>
    <t>A Statement of Applicability shall be prepared to document the risk treatment and controls adopted.</t>
  </si>
  <si>
    <t xml:space="preserve">The senior management shall assess and sign-off the risk treatment regime, policies and procedures. </t>
  </si>
  <si>
    <t>Risk Governance</t>
  </si>
  <si>
    <t xml:space="preserve">Responsibility for cyber security risks has been allocated appropriately to named individuals.  </t>
  </si>
  <si>
    <t>Cyber security risks are on the organisational risk register.</t>
  </si>
  <si>
    <t>Knowledge sharing of risk management through peer-networks and membership of CiSP is actively undertaken.</t>
  </si>
  <si>
    <t>The board routinely reviews cyber risks which are a standing agenda item.</t>
  </si>
  <si>
    <t>There is board-level accountability for cyber risk with a named individual.</t>
  </si>
  <si>
    <t>Staff members are trained in cyber risk assessment and management relevant to their role.</t>
  </si>
  <si>
    <t>An organisation-wide risk management culture is promoted by the senior management with demonstrable participation at all levels.</t>
  </si>
  <si>
    <t>Senior accountable officers receive appropriate training and guidance on cyber security and risk management.</t>
  </si>
  <si>
    <t>Senior management regularly reviews the resource allocations to ensure these are sufficient to permit prioritised information security and cyber risk mitigation measures to be implemented.</t>
  </si>
  <si>
    <t>Supplier Management</t>
  </si>
  <si>
    <t>Supply Chain Assurance</t>
  </si>
  <si>
    <t>None</t>
  </si>
  <si>
    <t>Organisations shall adopt a proportionate, risk-based policy in respect of supply chain cyber security. Specifically, they shall implement the Scottish Public Sector Guidance Note on Supplier Cyber Security from Financial Year 2019-20.</t>
  </si>
  <si>
    <t>Organisations that adopt cloud-based services shall ensure the NCSC 14 principles of cloud security are adopted from Financial year 2019-20.</t>
  </si>
  <si>
    <t xml:space="preserve">The organisation has assessed, understands and has procedures in place to manage security risks that may arise as a result of dependencies on third party suppliers. </t>
  </si>
  <si>
    <t>Documented and suitable assurances have been obtained from suppliers and their immediate supply chain that proportionate and appropriate security measures to protect systems, services, data and information are in place.</t>
  </si>
  <si>
    <t>The security requirements and stipulations necessary to ensure GDPR and other regulatory compliance  are incorporated into supplier contracts, are mutually agreed and understood.</t>
  </si>
  <si>
    <t>Roles and Responsibilities</t>
  </si>
  <si>
    <t>Where services are outsourced (for example by use of cloud infrastructure or services), you shall understand and accurately record which security related responsibilities remain with the organisation and which are the supplier’s responsibility.</t>
  </si>
  <si>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t>
  </si>
  <si>
    <t>There is a clear and documented shared-responsibility model with suppliers for incident management.  </t>
  </si>
  <si>
    <t>Access control</t>
  </si>
  <si>
    <t>Only individually authenticated and authorised users can connect to or access your networks or information systems.</t>
  </si>
  <si>
    <t>Both electronic and physical access requires individual authentication and authorisation.</t>
  </si>
  <si>
    <t>Where cloud-based services are employed, there is sufficient separation of the organisation’s data and service from other users of the service.</t>
  </si>
  <si>
    <t>Third party user access to all your networks and information systems is limited to the minimum necessary.</t>
  </si>
  <si>
    <t>Additional authentication mechanisms, such as two-factor or hardware-backed certificates are employed, to individually authenticate and authorise all third party remote access to all networks and information systems that support essential services.</t>
  </si>
  <si>
    <t>The list of external users with access to essential service networks and systems is reviewed on a regular basis, e.g. every 6 months.</t>
  </si>
  <si>
    <t>Security in Procurements</t>
  </si>
  <si>
    <t>Ensure implementation of the Scottish Public Sector Supplier Cyber Security Guidance Note as part of procurement processes.</t>
  </si>
  <si>
    <t>Cyber risk and information security related requirements shall be considered as an integral part of the procurement process and, where relevant, included in tender requirements for new systems, services or enhancements to existing provisions.</t>
  </si>
  <si>
    <t>Organisations shall regularly monitor, review and audit supplier service delivery and associated security provisions.</t>
  </si>
  <si>
    <t>Hardware Assets</t>
  </si>
  <si>
    <t>All hardware assets and their configuration are tracked and recorded, including end user devices and removable media.</t>
  </si>
  <si>
    <t>End user devices are managed to enable organisational controls to be applied over software or applications</t>
  </si>
  <si>
    <t>The security of End User Devices (EUDs) meets the CESG guidance on End User Devices Security Principles and  BYOD Guidance: Device Security Considerations.</t>
  </si>
  <si>
    <t>All assets are identified and inventoried (at a suitable level of detail). The inventory is kept up-to-date.</t>
  </si>
  <si>
    <t>Assets are securely managed throughout their lifecycle, from creation through to eventual decommissioning or disposal.</t>
  </si>
  <si>
    <t>Assets are prioritised according to their importance to the delivery of the essential service.</t>
  </si>
  <si>
    <t>Responsibility for managing the physical assets has been assigned</t>
  </si>
  <si>
    <t>Assets management is in place; assets shall not be taken off-site without prior authorisation with associated documentation.</t>
  </si>
  <si>
    <t>Security is applied to all assets used off-site.</t>
  </si>
  <si>
    <t>Software Assets</t>
  </si>
  <si>
    <t>All software is maintained and up to date.</t>
  </si>
  <si>
    <t>Software must:
- be licensed and supported
- be removed from devices when no longer supported
- be patched within 14 days of an update
- being released for critical or high risk vulnerabilities 
- have other mitigating steps in place where patches cannot be applied</t>
  </si>
  <si>
    <t>All software assets with licence and configuration details must be tracked and recorded</t>
  </si>
  <si>
    <t>Software vulnerabilities monitoring, including using in-support software, must be implemented.</t>
  </si>
  <si>
    <t>The installation of software shall be controlled and shall not be permitted by general users.</t>
  </si>
  <si>
    <t>Infrastructure management</t>
  </si>
  <si>
    <t>Critical infrastructure assets are identified, threats evaluated and proportionate security measures are in place.</t>
  </si>
  <si>
    <t>Network assets shall be regularly maintained to ensure service continuity.</t>
  </si>
  <si>
    <t>Network assets shall be protected from power surges and failures.</t>
  </si>
  <si>
    <t>Dependencies on supporting infrastructure (e.g. power, cooling etc.) shall be identified and recorded.</t>
  </si>
  <si>
    <t>Equipment and devices on premise shall be sited to ensure protection from external and internal environmental risks (e.g. water ingress).</t>
  </si>
  <si>
    <t>Protect</t>
  </si>
  <si>
    <t>Information Security Management</t>
  </si>
  <si>
    <t xml:space="preserve">Security Policy &amp; Processes </t>
  </si>
  <si>
    <t>Appropriate policies and processes that direct the organisation’s overall approach to securing systems are defined, implemented, communicated and enforced.</t>
  </si>
  <si>
    <t>Security governance, risk assessment and technical security practices are documented.</t>
  </si>
  <si>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</si>
  <si>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Information security shall be addressed in project management, regardless of the type of project.</t>
  </si>
  <si>
    <t>Key security performance indicators are defined and reported to the executive management.</t>
  </si>
  <si>
    <t xml:space="preserve">Acceptable usage policies that define the proper use of technology by all personnel are in place. (These include remote access, wireless, removable electronic media, laptops, tablets, handheld devices, email and Internet.) </t>
  </si>
  <si>
    <t>The security policy and procedures clearly define information security responsibilities for all personnel.</t>
  </si>
  <si>
    <t>Policies and processes are reviewed at suitably regular intervals to ensure they remain relevant to threats, business processes, accommodate lessons learned and remain appropriate and effective.</t>
  </si>
  <si>
    <t xml:space="preserve">Security policies and processes are integrated with other organisational policies and processes. </t>
  </si>
  <si>
    <t>All relevant legislative statutory, regulatory, contractual requirements and the organisation’s approach to meet these requirements shall be explicitly identified, documented and kept up to date.</t>
  </si>
  <si>
    <t>Lifecycle Management</t>
  </si>
  <si>
    <t>Information and data should be classified according to retention and disposal policies and legal requirements.</t>
  </si>
  <si>
    <t>Where removable media is to be reused or destroyed then appropriate steps should be taken to ensure that previously stored information will not be accessible.</t>
  </si>
  <si>
    <t>Personal data processed should be adequate, relevant and limited to what is necessary for the purpose of the processing, and it should not be kept for longer than is necessary.</t>
  </si>
  <si>
    <t>The rationale for collecting, holding or processing personal information should be documented.</t>
  </si>
  <si>
    <t>Technical controls are in place to prevent unauthorised or unlawful processing of personal data that might remain in memory when technology is sent for repair or disposal.</t>
  </si>
  <si>
    <t>Information and data records shall be protected from loss, destruction, falsification, unauthorised access and unauthorised release, in accordance with legislation, regulatory, contractual or business requirements.</t>
  </si>
  <si>
    <t>PCI-DSS</t>
  </si>
  <si>
    <t>•	Limit cardholder data storage and retention time to that required for business, legal, and/or regulatory purposes, as documented in the data retention policy. 
•	Purge unnecessary stored cardholder data at least quarterly.
•	Do not store sensitive cardholder authentication data after authorisation (even if it is encrypted).</t>
  </si>
  <si>
    <t>Information, data and media destruction and disposal processes should have assurance procedures and have an audit trail from collection to destruction.</t>
  </si>
  <si>
    <t>Storage</t>
  </si>
  <si>
    <t>There is a detailed understanding and mapping of data and information flows from creation, transit and storage.</t>
  </si>
  <si>
    <t>The organisation has processes to remove or minimise unnecessary copies or unneeded historic records.</t>
  </si>
  <si>
    <t xml:space="preserve">Where outsourced or third-party storage is employed, appropriate secured measures are in place and enforced, with appropriate assurance procedures consistent with data retention policies. </t>
  </si>
  <si>
    <t>All data is sanitised from all devices, equipment or removable media before disposal.</t>
  </si>
  <si>
    <t>Information / Data Classification</t>
  </si>
  <si>
    <t>Organisations shall know and record the information they hold or process.</t>
  </si>
  <si>
    <t>All data and information assets have been identified and classified.</t>
  </si>
  <si>
    <t>Information has been classified in terms of legal requirements, value, criticality and sensitivity to unauthorised disclosure or modification.</t>
  </si>
  <si>
    <t>An appropriate set of procedures for information labelling has been developed and implemented in accordance with the information classification scheme adopted by the organization</t>
  </si>
  <si>
    <t>All data and information assets have been catalogued by type and classification and recorded in an information assets register.</t>
  </si>
  <si>
    <t>The register records where the information/data are held and which computer systems or services process it.</t>
  </si>
  <si>
    <t>The purpose for processing the personal data held by the organisation has been described and recorded.</t>
  </si>
  <si>
    <t>Procedures for handling assets shall be developed and implemented in accordance with the information classification scheme.</t>
  </si>
  <si>
    <t>The register maintains a current understanding of the location, quantity and quality of data and information stored.</t>
  </si>
  <si>
    <t>Information / Data Transfer Controls</t>
  </si>
  <si>
    <t>Data at rest on all devices is protected by appropriate measures including physical protection (when hosted within a secure data centre) and encryption.</t>
  </si>
  <si>
    <t>There are technical controls in place (such as appropriate encryption) to prevent unauthorised or unlawful processing of personal data, whether through unauthorised access to user devices or storage media, backups, interception of data in transit or at rest.</t>
  </si>
  <si>
    <t>Data in transit accessed by remote workers and third parties is protected by encryption and the application of a virtual private network (VPN).</t>
  </si>
  <si>
    <t xml:space="preserve">Protect data in transit using well-configured TLS v1.2. </t>
  </si>
  <si>
    <t>•	Strong cryptography and security protocols such as SSL/TLS, SSH or IPSec are employed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
•	Unprotected PANs are not sent by end user messaging technologies.</t>
  </si>
  <si>
    <t>There is a current understanding and record of the data links and routes used to transmit data.</t>
  </si>
  <si>
    <t>Appropriate physical or technical means are applied to protect data that travels over an untrusted carrier.</t>
  </si>
  <si>
    <t>Agreements shall address the secure transfer of business information between the organization and external parties.</t>
  </si>
  <si>
    <t>People</t>
  </si>
  <si>
    <t>Prior to Employment</t>
  </si>
  <si>
    <t>For users who have administrative privileges, pre-employment checks which are aligned with the Baseline Personnel Security Standard (BPSS) should be implemented.</t>
  </si>
  <si>
    <t xml:space="preserve"> Pre-employment checks have been performed on all candidates proportional to the role and responsibilities, the classification of the information to be accessed and the perceived risks.</t>
  </si>
  <si>
    <t>Employee and contractor contract terms and conditions shall state their responsibilities for information security.</t>
  </si>
  <si>
    <t>During Employment</t>
  </si>
  <si>
    <t xml:space="preserve">A staff induction process is in place for new users (including contractors and third party users). </t>
  </si>
  <si>
    <t>As part of the induction process staff are made aware of their personal responsibility and obligations to comply with the corporate security policies with regards to system security, data handling, and acceptable use.</t>
  </si>
  <si>
    <t>The terms and conditions for their employment, or contract, should be formally acknowledged and retained to support any subsequent disciplinary action.</t>
  </si>
  <si>
    <t>Acceptable usage policies are in place that include remote access, wireless, removable electronic media, laptops, tablets, handheld devices, email and Internet.</t>
  </si>
  <si>
    <t>There are established roles and responsibilities for the security of network and information systems at all levels, with clear and well-understood channels for communicating and escalating risks.</t>
  </si>
  <si>
    <t>Staff Training &amp; Awareness Culture</t>
  </si>
  <si>
    <t>Appropriate staff training, awareness-raising and disciplinary processes with regard to cyber resilience are in place for staff at all organisational levels.</t>
  </si>
  <si>
    <t>All users should be aware of the policy regarding acceptable account usage and their personal responsibility to adhere to corporate security policies including removable media security and mobile device utilisation.</t>
  </si>
  <si>
    <t>All users should receive regular refresher training on the security risks to the organisation.</t>
  </si>
  <si>
    <t>The effectiveness of security training is monitored to test the effectiveness and value of the security training provided to all users.</t>
  </si>
  <si>
    <t xml:space="preserve">Employees receive appropriate training, support and technology to help them manage personal data securely. </t>
  </si>
  <si>
    <t>Senior accountable individuals receive appropriate training and guidance on cyber security and risk management and promote a culture of awareness and education about cyber security across the organisation.</t>
  </si>
  <si>
    <t>Individuals’ cyber security training is monitored to ensure update training is completed and delivered at regular intervals.</t>
  </si>
  <si>
    <t>Cyber security training and awareness activities are evaluated for efficacy.</t>
  </si>
  <si>
    <t>Staff Skills Assessment</t>
  </si>
  <si>
    <t>A formal assessment of security skills is undertaken.</t>
  </si>
  <si>
    <t>Staff in security roles should be encouraged to develop and formally validate their security skills through enrolment on a recognised certification scheme.</t>
  </si>
  <si>
    <t>Necessary roles for the security of networks and information systems have been identified and appropriately capable and knowledgeable staff fill those roles.</t>
  </si>
  <si>
    <t>Mobile / Remote Working Policy</t>
  </si>
  <si>
    <t>A policy and supporting security measures shall be implemented to protect information and data accessed, processed or stored at remote sites.</t>
  </si>
  <si>
    <t>Mobile devices that hold data are catalogued, controlled and configured according to best practice for the platform, with appropriate technical and procedural policies in place.</t>
  </si>
  <si>
    <t>A remote-wipe capability is in place for all mobile devices.</t>
  </si>
  <si>
    <t>Data held on mobile devices has been minimised and some data may be automatically deleted off mobile devices after a certain period.</t>
  </si>
  <si>
    <t>Services Resilience</t>
  </si>
  <si>
    <t>Key operational services have been identified with resource, technology and service dependencies defined (e.g. power, bandwidth, cooling, data, people).</t>
  </si>
  <si>
    <t>Key operational systems are segregated from other business and external systems by appropriate technical and physical means (e.g. separate network and system infrastructure with independent user administration).</t>
  </si>
  <si>
    <t>Geographical constraints or weaknesses have been identified and mitigated.</t>
  </si>
  <si>
    <t>Systems that key services depend upon have redundancy and are replicated to an alternative location.</t>
  </si>
  <si>
    <t>There are alternative physical paths and service providers for network connectivity with known separacy and diversity of bearers.</t>
  </si>
  <si>
    <t>Dependencies, resource and geographical limitation assessments are regularly reviewed with update mitigations when required.</t>
  </si>
  <si>
    <t>Account Management</t>
  </si>
  <si>
    <t>All user account creation is subject to a provisioning and approval process.</t>
  </si>
  <si>
    <t>Each user authenticates using a unique username and strong password before being granted access to applications, computers and network devices.</t>
  </si>
  <si>
    <t xml:space="preserve">All default passwords are removed and changed. </t>
  </si>
  <si>
    <t>There is a robust password policy which avoids users having weak passwords, such as those trivially guessable.</t>
  </si>
  <si>
    <t>Password or account sharing between users is not permitted.</t>
  </si>
  <si>
    <t>User accounts and special access privileges are removed or disabled when no longer required (e.g. when an individual changes role or leaves the organisation) or after a pre-defined period of inactivity (e.g. 3 months).</t>
  </si>
  <si>
    <t>Unnecessary user accounts (e.g. Guest accounts and unnecessary administrative accounts) should be removed or disabled.</t>
  </si>
  <si>
    <t>•	High-privilege users (i.e. administrators) use different passwords for their high-privilege and low-privilege accounts.
•	Passwords are combined with some other form of strengthening authentication, such as lockouts, throttling or two-factor authentication. 
•	Passwords are never stored as plain text, but are (as a minimum) hashed using a cryptographic function capable of multiple iterations and/or a variable work factor. It is advisable to add a salt before hashing passwords.</t>
  </si>
  <si>
    <t>Identity Authentication</t>
  </si>
  <si>
    <t>Only individually authenticated and authorised users can connect to or access your networks or information systems.</t>
  </si>
  <si>
    <t>Users that can access personal data are appropriately authenticated.</t>
  </si>
  <si>
    <t xml:space="preserve">Users who have privileged access are strongly authenticated by two-factor or device authentication measures. </t>
  </si>
  <si>
    <t>Multi-factor authentication shall be used for access to enterprise level social media accounts.</t>
  </si>
  <si>
    <t>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t>
  </si>
  <si>
    <t>Additional authentication mechanisms, such as two-factor or hardware-backed certificates are employed for all systems that operate or support key services.</t>
  </si>
  <si>
    <t>There is an auditable, robust procedure in place to verify each user and issue minimum required access rights. </t>
  </si>
  <si>
    <t>Attempts by unauthorised users to connect to systems are alerted, promptly assessed and investigated.</t>
  </si>
  <si>
    <t>Privilege Management</t>
  </si>
  <si>
    <t>Special access privileges are restricted to a limited number of authorised individuals.</t>
  </si>
  <si>
    <t>Details about special access privileges (e.g. the individual and purpose) are documented, kept in a secure location and reviewed on a regular basis (e.g. quarterly).</t>
  </si>
  <si>
    <t>Special access privileges are controlled, periodically reviewed and removed or disabled when no longer required.</t>
  </si>
  <si>
    <t>Users who have privileged access accounts are strongly authenticated by two-factor or hardware authentication measures.</t>
  </si>
  <si>
    <t>Access to sensitive information and services is only provided to authorised, known and individually referenced users or systems.</t>
  </si>
  <si>
    <t>Access to logging data is limited to those with business need and no others. Legitimate reasons for accessing logging data are given in use policies and users are trained on this.</t>
  </si>
  <si>
    <t>Systems and devices supporting the delivery services are only administered or maintained by authorised privileged users from dedicated devices that are technically segregated and secured to the same level as the networks and systems being maintained.</t>
  </si>
  <si>
    <t>Privileged access (e.g. to systems controlling the essential service or system administration) is carried out with separate accounts that are closely monitored.</t>
  </si>
  <si>
    <t>All privileged access to your networks and information systems is routinely validated and subject to real-time security monitoring, with all privileged user sessions recorded and stored for offline analysis and investigation.</t>
  </si>
  <si>
    <t>Temporary, time-bound rights for privileged access and external third-party support access are employed where appropriate.</t>
  </si>
  <si>
    <t>The use of utility programs that might be capable of overriding systems and applications shall be restricted.</t>
  </si>
  <si>
    <t>Access to program source code shall be restricted</t>
  </si>
  <si>
    <t>Administrator Account Management</t>
  </si>
  <si>
    <t>Administrative accounts should only be used to perform legitimate administrative activities, and should not be granted access to email or the internet.</t>
  </si>
  <si>
    <t>Administrative accounts should be configured to require a password change on a regular basis (e.g. at least every 60 days).</t>
  </si>
  <si>
    <t xml:space="preserve">Highly privileged administrative accounts should not be used for high risk or day to day user activities, for example web browsing and email. </t>
  </si>
  <si>
    <t>Administrators do not conduct ‘normal’ day-to-day business from their high privilege account and use normal accounts for standard business use.</t>
  </si>
  <si>
    <t>The list of system administrators is regularly reviewed, e.g. every 6 months.</t>
  </si>
  <si>
    <t>Media Management</t>
  </si>
  <si>
    <t>Storage Media</t>
  </si>
  <si>
    <t>The organisation can identify and account for all end user devices and removable media.</t>
  </si>
  <si>
    <t>Tracking and recording of all assets that process personal data, including end user devices and removable media is in place.</t>
  </si>
  <si>
    <t>•	Media back-ups are stored in a secure location, preferably off site.
•	All media is physically secure.
•	There is strict control over the internal or external distribution of any kind of media.
•	Management approves any and all media moved from a secured area, especially when media is distributed to individuals.
•	There is strict control over the storage and accessibility of media.
•	All media is destroyed when it is no longer needed for business or legal reasons.</t>
  </si>
  <si>
    <t xml:space="preserve">All data important to the delivery of the essential service is sanitised from all devices, equipment or removable media before disposal. </t>
  </si>
  <si>
    <t>Cloud service providers appropriately sanitise data storage areas before reallocating to another user.</t>
  </si>
  <si>
    <t>Mobile Media / Devices</t>
  </si>
  <si>
    <t xml:space="preserve">Where the use of removable media is required to support the business need, it is limited to the minimum media types and users needed. </t>
  </si>
  <si>
    <t xml:space="preserve">Removable media is automatically scanned for malware when it is introduced to any system. </t>
  </si>
  <si>
    <t>Any media brought into the organisation is scanned for malicious content by a standalone machine before any data transfer takes place.</t>
  </si>
  <si>
    <t xml:space="preserve">All removable media is formally issued to individual users who are accountable for its use and safe keeping. </t>
  </si>
  <si>
    <t>Users do not use unofficial media, such as USB sticks given away at conferences.</t>
  </si>
  <si>
    <t xml:space="preserve">Sensitive information is encrypted at rest on media. </t>
  </si>
  <si>
    <t xml:space="preserve">Where removable media is to be reused or destroyed then it will be done securely with appropriate steps taken to ensure that previously stored information is not accessible. </t>
  </si>
  <si>
    <t>All users are made aware of their personal responsibilities for following the removable media security policy.</t>
  </si>
  <si>
    <t>A secure baseline build and configuration is applied to all mobile devices.</t>
  </si>
  <si>
    <t>Mobile devices are catalogued, tracked and configured according to best practice for the platform, with appropriate technical and procedural policies in place.</t>
  </si>
  <si>
    <t xml:space="preserve">The data held on mobile devices is minimised.  </t>
  </si>
  <si>
    <t>Some data may be automatically deleted off mobile devices after a certain period.</t>
  </si>
  <si>
    <t>Procedures are implemented for the management of removable media in accordance with the classification scheme adopted by the organisation.</t>
  </si>
  <si>
    <t>Sensitive information should be encrypted at rest on devices and media and when transmitted electronically, especially over an untrusted carrier.</t>
  </si>
  <si>
    <t>•	Any keys used for encryption of cardholder data are protected from disclosure and misuse.
•	All appropriate key management processes and procedures for cryptographic keys used for encryption of cardholder data are documented and implemented.
•	Strong cryptography and security protocols such as SSL/TLS, SSH or IPSec are used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t>
  </si>
  <si>
    <t>There is a policy on the adoption of cryptography including the use and protection of cryptographic keys and their lifetime management.</t>
  </si>
  <si>
    <t>Remote Wipe Capability</t>
  </si>
  <si>
    <t>The organisation has the ability to remotely wipe and/or revoke access from all mobile devices.</t>
  </si>
  <si>
    <t>Environmental Security</t>
  </si>
  <si>
    <t>Equipment Location</t>
  </si>
  <si>
    <t>Equipment on premise and with third parties is sited and protected to reduce the risks from physical and environmental threats and hazards.</t>
  </si>
  <si>
    <t>Network and connectivity cabling is resilient, and protected from interception, interference or damage with redundancy in place.</t>
  </si>
  <si>
    <t>Power Resilience</t>
  </si>
  <si>
    <t>Dependencies on supporting infrastructure (e.g. power, cooling) are identified and recorded.</t>
  </si>
  <si>
    <t>Equipment is protected from power failures and other disruptions caused by failures in supporting utilities such as telecommunications with redundancy in place.</t>
  </si>
  <si>
    <t>Physical/building security</t>
  </si>
  <si>
    <t>Appropriately secure accommodation, and appropriate policies and practices governing its use, are in place to protect personnel, hardware, programs, networks and data from loss, damage or compromise.</t>
  </si>
  <si>
    <t>•	Appropriate facility entry controls are used to limit and monitor physical access to systems.
•	Procedures are in place to easily distinguish between onsite personnel and visitors.
•	All visitors are authorized before entering secure areas; given a physical badge or token that expires and that identifies visitors as not onsite personnel; and are asked to surrender the physical badge or token before leaving the facility or at the date of expiration.
•	A visitor log is used to maintain a physical audit trail of visitor information and activity, including visitor name and company and the onsite personnel authorising physical access. The visitor log is retained for at least three months unless otherwise restricted by law.</t>
  </si>
  <si>
    <t>Delivery and loading areas and other access points are controlled.</t>
  </si>
  <si>
    <t>Internal Security</t>
  </si>
  <si>
    <t>Secure accommodation areas are defined and segregated to protect areas that contain either sensitive data or information processing facilities.</t>
  </si>
  <si>
    <t>Appropriate policies and practices governing use of the secure accommodation and access are in place.</t>
  </si>
  <si>
    <t>Secure areas are protected by entry controls to ensure that only authorised personnel are allowed access.</t>
  </si>
  <si>
    <t>Physical security for offices, rooms and facilities shall be defined and implemented; to include, for example, intruder detection, fire and flood alarms and alerting systems.</t>
  </si>
  <si>
    <t>Any default password for a user account should be changed to an alternative, strong password.</t>
  </si>
  <si>
    <t>Unnecessary software (including application, system utilities and network services) should be removed or disabled.</t>
  </si>
  <si>
    <t>The auto-run feature should be disabled (to prevent software programs running automatically when removable storage media is connected to a computer or when network folders are accessed).</t>
  </si>
  <si>
    <t>A personal firewall (or equivalent) should be enabled on desktop PCs and laptops, and configured to disable (block) unapproved connections by default.</t>
  </si>
  <si>
    <t>A secure baseline build is implemented for all systems, platforms and components, including hardware and software to reduce the level of inherent vulnerability.</t>
  </si>
  <si>
    <t xml:space="preserve">Any functionality or application, services or ports not required to support a user or business need is removed or disabled. </t>
  </si>
  <si>
    <t>The secure build profile is managed by a configuration control process and any deviation from the standard build is documented and approved.</t>
  </si>
  <si>
    <t>•	Configuration control of applications installed and technology is in place. All changes and new applications are recorded and managed, including a formal approval and documentation process. 
•	Devices, systems and services have the capability to detect, isolate and respond to malicious software.
•	The underlying infrastructure and platform are secure. This includes verification that the hosting environment is maintained securely.</t>
  </si>
  <si>
    <t>Network and system configurations changes are managed, secure and documented.</t>
  </si>
  <si>
    <t>Network and information systems are regularly reviewed and validated to ensure that they have the expected, secured settings and configuration.</t>
  </si>
  <si>
    <t>There are regular reviews and updates to technical knowledge about networks and information systems, such as documentation and network diagrams, and these are securely stored.</t>
  </si>
  <si>
    <t>Only permitted software can be installed and standard users cannot change settings that would impact security or business operation.</t>
  </si>
  <si>
    <t>Secure Design / Development</t>
  </si>
  <si>
    <t>•	Software applications (internal and external, and including web-based administrative access) are developed in accordance with PCI DSS and based on industry best practices. 
•	Information security is embedded throughout the software development life cycle.
•	Change control processes and procedures are followed for all changes to system components.
•	Applications are developed based on secure coding guidelines and custom application code is reviewed to identify coding vulnerabilities. 
•	All public-facing web applications are protected against known attacks, either by performing code vulnerability reviews at least annually or by installing a web application firewall in front of public-facing web applications.</t>
  </si>
  <si>
    <t>A secure development policy with guidance is in place that defines rules for the development of software and systems and is applied.</t>
  </si>
  <si>
    <t>Change control procedures are in place to manage the development lifecycle.</t>
  </si>
  <si>
    <t>Appropriate expertise is employed to design and review network and information systems.</t>
  </si>
  <si>
    <t>Network information systems and sensitive data are segregated into appropriate security zones (e.g. operational systems for the essential service are segregated in a highly trusted, more secure zone).</t>
  </si>
  <si>
    <t>The networks and information systems are designed to have simple data flows between components to support effective security monitoring.</t>
  </si>
  <si>
    <t>The networks and information systems are designed to be easy to recover.</t>
  </si>
  <si>
    <t>Change Control Procedures</t>
  </si>
  <si>
    <t>Policies that set out configuration control and change management processes for all systems are in place.</t>
  </si>
  <si>
    <t>The ability of users to change configuration is restricted. Users with ‘normal’ privileges are  prevented from installing or disabling any software or services running on the system.</t>
  </si>
  <si>
    <t>Modifications to software are restricted and all changes are subject to change control procedures.</t>
  </si>
  <si>
    <t>Change management is in place to control changes to business processes, information processing facilities and systems.</t>
  </si>
  <si>
    <t>System Testing</t>
  </si>
  <si>
    <t>Regular testing is undertaken to evaluate the effectiveness of security measures, including virus and malware scanning, vulnerability scanning and penetration testing.</t>
  </si>
  <si>
    <t>The results of any testing and remediating action plans are recorded.</t>
  </si>
  <si>
    <t>•	Regular IT Health Checks (ITHCs) are implemented to demonstrate that any security mechanisms put in place are ongoing and effective and identify any current vulnerability. ITHCs should normally be conducted annually, or more frequently where appropriate.
•	Issues identified in the ITHC (including systemic issues) are addressed, with critical and high risks areas resolved immediately or a viable plan for resolution is agreed. Medium and Low risks may be accepted or subject to remedial action plans.</t>
  </si>
  <si>
    <t>•	The presence of wireless access points is tested to detect unauthorized wireless access points on a quarterly basis. Typical methods are wireless network scans, physical/logical inspections of system components and infrastructure, network access control (NAC), or wireless IDS/IPS.
•	External and internal penetration testing is performed at least annually and after any significant infrastructure or application upgrade or modification, including network- and application-layer penetration tests.
•	Network intrusion detection systems and/or intrusion prevention systems are used to (a) monitor all traffic at the perimeter of the cardholder data environment as well as at critical points inside of the cardholder data environment, and (b) alert personnel to suspected compromises. 
•	IDS/IPS engines, baselines, and signatures are kept up to date.
•	File integrity monitoring tools are deployed to alert personnel to unauthorized modification of critical system files, configuration files or content files. Critical file comparisons are performed at least weekly.</t>
  </si>
  <si>
    <t>Regular testing by third-parties is undertaken to identify vulnerabilities in the networks and information systems.</t>
  </si>
  <si>
    <t>Penetration testing is undertaken following changes to operating systems, business applications and software development and deployment.</t>
  </si>
  <si>
    <t>Test data shall be securely marked, protected and controlled.</t>
  </si>
  <si>
    <t>Operational Security</t>
  </si>
  <si>
    <t>Malware Policies &amp; Protection</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</si>
  <si>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d.	configured to perform regular scans of all files (e.g. daily).
e.	preventing connections to malicious websites on the internet (e.g. by using website blacklisting).</t>
  </si>
  <si>
    <t xml:space="preserve">Anti-malware policies and standards are developed and implemented across the organisational infrastructure. </t>
  </si>
  <si>
    <t>End user device protection is in place through anti-virus software and application whitelisting.</t>
  </si>
  <si>
    <t>Stand-alone workstations are provided as required, equipped with appropriate anti-virus software capable of scanning the content on any type of media.</t>
  </si>
  <si>
    <t>Email Security</t>
  </si>
  <si>
    <t>The NCSC Active Cyber Defence (ACD) programme is implemented where appropriate and available.</t>
  </si>
  <si>
    <t>Transport Layer Security Version 1.2 (TLS v1.2) is used for sending and receiving email securely.</t>
  </si>
  <si>
    <t xml:space="preserve">Domain-based Message Authentication Reporting and Conformance (DMARC) is in place along with Domain Keys Identified Mail (DKIM) and Sender Policy Framework (SPF) records. </t>
  </si>
  <si>
    <t>Spam and malware filtering is present and DMARC is enforced on inbound email.</t>
  </si>
  <si>
    <t>Application Security</t>
  </si>
  <si>
    <t>The NCSC's Web Check service has been adopted.</t>
  </si>
  <si>
    <t>Web applications are regularly tested for the presence of known security vulnerabilities (such as described in the top ten Open Web Application Security Project (OWASP) vulnerabilities) and common configuration errors.</t>
  </si>
  <si>
    <t>Vulnerability Management &amp; Scanning</t>
  </si>
  <si>
    <t>There is a defined policy and supporting process to identify vulnerabilities, prioritise and mitigate those vulnerabilities.</t>
  </si>
  <si>
    <t>Regular vulnerability scans are conducted via automated vulnerability scanning tools against all networked devices and any identified vulnerabilities are remedied or managed within an agreed time frame.</t>
  </si>
  <si>
    <t>Regular discovery scans to detect unknown devices are undertaken and any anomalous findings are investigated.</t>
  </si>
  <si>
    <t>Antivirus and malicious code checking solutions are deployed to scan inbound and outbound objects at the network perimeter. Any suspicious or infected malicious objects are quarantined for further analysis.</t>
  </si>
  <si>
    <t>•	Internal and external network vulnerability scans are run at least quarterly and after any significant change in the network. 
•	Quarterly external scans are performed by an Approved Scanning Vendor (ASV).
•	Scans conducted after network changes are performed by internal staff.
•	File integrity monitoring tools are deployed to alert personnel to unauthorised modification of critical system files, configuration files or content files. The software is configured to perform critical file comparisons at least weekly.</t>
  </si>
  <si>
    <t>Information about vulnerabilities for all software packages, network equipment and operating systems is obtained in a timely fashion.</t>
  </si>
  <si>
    <t xml:space="preserve">Vulnerabilities are prioritised and subject to a risk assessment to determine the organisation’s exposure and vulnerability. </t>
  </si>
  <si>
    <t>Selected threat intelligence feeds are in place to enable risk-based and threat-informed decisions based on  business needs.</t>
  </si>
  <si>
    <t>Network traffic, services and content is limited to that required to support business need (for example, by setting effective firewall rule sets).</t>
  </si>
  <si>
    <t>Inbound and outbound traffic traversing network boundaries is monitored to identify unusual large data transfers which automatically generate security alerts that are promptly managed by appropriately trained staff.</t>
  </si>
  <si>
    <t>Data Exfiltration Monitoring</t>
  </si>
  <si>
    <t>Software Supported &amp; Updated</t>
  </si>
  <si>
    <t>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t>
  </si>
  <si>
    <t>Where a patch is not available or cannot be deployed within the timescales above, there are alternative mitigating actions in place, such as disabling or reducing access to the vulnerable service.</t>
  </si>
  <si>
    <t>You maximise the use of supported software, firmware and hardware in your networks and information systems.</t>
  </si>
  <si>
    <t>Website Screening</t>
  </si>
  <si>
    <t>Malware protection software is in place to prevent connections to known malicious websites on the internet (e.g. by using website blacklisting).</t>
  </si>
  <si>
    <t>Browser Management</t>
  </si>
  <si>
    <t>Deploy a content filtering capability on all external gateways to try to prevent attackers delivering malicious code to common desktop applications such as the web browser.</t>
  </si>
  <si>
    <t>Browsers are kept current and configured to mitigate against code exploits.</t>
  </si>
  <si>
    <t>Unnecessary browser plugins or scripting languages are disabled.</t>
  </si>
  <si>
    <t>Monitor / Audit User Activity</t>
  </si>
  <si>
    <t>All user access and activity is monitored, particularly access to sensitive information and the use of privileged account actions.</t>
  </si>
  <si>
    <t>The monitoring capability has the ability to identify unauthorised or accidental misuse of systems or data. It is able to tie specific users to suspicious activity.</t>
  </si>
  <si>
    <t>Activities that are outside of normal, expected bounds; policy violation;  suspicious or undesirable behaviour (such as access to large amounts of sensitive information outside of standard working hours) are recorded and investigated.</t>
  </si>
  <si>
    <t>•	An automated audit trails system is in place for all system components for reconstructing these events:
a)	all individual user accesses to cardholder data; 
b)	all actions taken by any individual with root or administrative privileges; 
c)	access to all audit trails; 
d)	invalid logical access attempts; 
e)	use of identification and authentication mechanisms; 
f)	initialisation of the audit logs; 
g)	creation and deletion of system-level objects.
•	Audit trail entries are recorded for all system components for each event, including at a minimum: user identification, type of event, date and time, success or failure indication, origination of event, and identity or name of affected data, system component or resource.
•	All critical system clocks and times are synchronised with controls for acquiring, distributing, and storing time.
•	Audit trails are secured so they cannot be altered.
•	Logs for all system components related to security functions are reviewed at least daily.
•	Audit trail history is retained for at least one year; at least three months of history is immediately available for analysis.</t>
  </si>
  <si>
    <t>All user’s access is logged and monitored for offline analysis and investigation as required.</t>
  </si>
  <si>
    <t xml:space="preserve">Logging facilities and log information shall be protected against tampering and unauthorised access. </t>
  </si>
  <si>
    <t>All actions involving all logging data (e.g. copying, deleting or modification, or even viewing) can be traced back to a unique user.</t>
  </si>
  <si>
    <t>Audit logs recording user activities, exceptions, faults and information security events are created, maintained securely and regularly reviewed.</t>
  </si>
  <si>
    <t>Attempts by unauthorised users to connect to systems are alerted, promptly assessed and investigated where relevant.</t>
  </si>
  <si>
    <t>13.10</t>
  </si>
  <si>
    <t>Disabled Auto-Run</t>
  </si>
  <si>
    <t>The auto-run feature is disabled (to prevent software programs running automatically when removable storage media is connected to a computer or when network folders are accessed).</t>
  </si>
  <si>
    <t>Network Security</t>
  </si>
  <si>
    <t>14.1</t>
  </si>
  <si>
    <t>Patch Management</t>
  </si>
  <si>
    <t>All security patches for software running on computers and network devices that are connected to or capable of connecting to the internet are installed in a timely manner (e.g. within 14 days of release or automatically when available from vendors).</t>
  </si>
  <si>
    <t>There is a defined policy and supporting process to identify vulnerabilities, prioritise and mitigate those vulnerabilities. The policy specifies specific patch application periods and a process for auditing compliance.</t>
  </si>
  <si>
    <t xml:space="preserve">Critical vulnerabilities are patched within 14 days, important vulnerabilities patched within 30 days and all others patched within 60 days. </t>
  </si>
  <si>
    <t>Where a vulnerability is being actively exploited then mitigating action (e.g. patch applied) is immediately taken.</t>
  </si>
  <si>
    <t>Where a patch is not deployed (or available) within the timescales above there is alternative mitigating actions employed, such as disabling or reducing access to the vulnerable service.</t>
  </si>
  <si>
    <t>14.2</t>
  </si>
  <si>
    <t>Device Management</t>
  </si>
  <si>
    <t>Unnecessary peripheral devices are disabled.</t>
  </si>
  <si>
    <t>All end-user devices are recorded, managed and tracked.</t>
  </si>
  <si>
    <t>Technical policies are applied and controls exerted on devices over software and applications.</t>
  </si>
  <si>
    <t>Devices used to access sensitive information and data or key operational services are authenticated and authorised.</t>
  </si>
  <si>
    <t>•	Unmanaged devices do not have access to the PSN. Where a corporate service contains information that has been sent over the PSN, the data owner’s permission is sought before allowing unmanaged devices to access that data. Additionally, unmanaged devices:
a)	are not able to use the corporate service to access the PSN in an unmediated fashion
b)	access the corporate service through an appropriately secured connection (e.g. via a VPN, or via a protocol that implements TLS).
c)	are authenticated prior to the information being accessed with a mechanism that does not solely rely on a username and password.</t>
  </si>
  <si>
    <t>Dedicated devices are used for privileged actions (such as administration or accessing the essential service's network and information systems). These devices are not used for directly browsing the web or accessing email.</t>
  </si>
  <si>
    <t>Device identity management which is cryptographically backed is performed and only known devices are able to access systems.</t>
  </si>
  <si>
    <t>Regular discovery scans are performed to detect unknown devices and any findings are investigated.</t>
  </si>
  <si>
    <t>Privileged access is only granted on owned and managed devices that are technically segregated and secured to the same level as the networks and systems being maintained.</t>
  </si>
  <si>
    <t>14.3</t>
  </si>
  <si>
    <t>Content Screening</t>
  </si>
  <si>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</si>
  <si>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Dedicated, stand-alone media scanning machines are provided and equipped with appropriate anti-virus products capable of scanning the content contained on any type of media and inspect recursive content within files.</t>
  </si>
  <si>
    <t>14.4</t>
  </si>
  <si>
    <t>Internal Segregation</t>
  </si>
  <si>
    <t>Information services, sensitive data, users and information systems are segregated into appropriate security zones on networks.</t>
  </si>
  <si>
    <t>Key operational systems are segregated in a highly trusted, more secure zone isolated with appropriate network security controls.</t>
  </si>
  <si>
    <t>Key operational systems are segregated from other business and external systems by appropriate technical and physical means.</t>
  </si>
  <si>
    <t>Internet services are not accessible from operational systems.</t>
  </si>
  <si>
    <t>Logging data is segregated from the rest of the network, and is not affected by disruption or corruption of network data.</t>
  </si>
  <si>
    <t>14.5</t>
  </si>
  <si>
    <t>Wireless Security</t>
  </si>
  <si>
    <t>Wireless access points are securely configured.</t>
  </si>
  <si>
    <t>All wireless access points only allow known devices to connect to corporate Wi-Fi services.  </t>
  </si>
  <si>
    <t>Security scanning tools are in place to detect and locate unauthorised or spoof wireless access points.</t>
  </si>
  <si>
    <t>Ensure wireless networks transmitting cardholder data or connected to the cardholder data environment use industry best practices (e.g., IEEE 802.11i) to implement strong encryption.</t>
  </si>
  <si>
    <t>14.6</t>
  </si>
  <si>
    <t>Boundary / Firewall Management</t>
  </si>
  <si>
    <t>One or more firewalls (or equivalent network device) are installed on the boundary of the organisation’s internal network(s).</t>
  </si>
  <si>
    <t>The default administrative password for any firewall (or equivalent network device) is changed to an alternative, strong password.</t>
  </si>
  <si>
    <t>Each rule that allows network traffic to pass through the firewall (e.g. each service on a computer that is accessible through the boundary firewall) is subject to approval by an authorised individual and documented (including an explanation of business need).</t>
  </si>
  <si>
    <t>Unapproved services, or services that are typically vulnerable to attack (such as Server Message Block (SMB), NetBIOS, tftp, RPC, rlogin, rsh or rexec), are disabled (blocked) at the boundary firewall by default.</t>
  </si>
  <si>
    <t>Firewall rules that are no longer required (e.g. because a service is no longer required) are removed or disabled in a timely manner.</t>
  </si>
  <si>
    <t>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t>
  </si>
  <si>
    <t>The firewall rule set should deny traffic by default and a whitelist should be applied that only allows authorised protocols, ports and applications to exchange data across the boundary.</t>
  </si>
  <si>
    <t>•	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
•	Firewall and router configurations that restrict all traffic from “untrusted” networks and hosts, except for protocols necessary for the cardholder data environment.
•	Direct public access between the Internet and any system component in the cardholder data environment is prohibited.
•	Personal firewall software is installed on any mobile and/or employee-owned computers with direct connectivity to the Internet that are used to access the organization’s network
•	All public-facing web applications are protected against known attacks, either by performing code vulnerability reviews at least annually or by installing a web application firewall in front of public-facing web applications.</t>
  </si>
  <si>
    <t>Traffic crossing the network boundary (including IP address connections as a minimum) is monitored.</t>
  </si>
  <si>
    <t>14.7</t>
  </si>
  <si>
    <t>Administrator Control</t>
  </si>
  <si>
    <t xml:space="preserve">Administrator access to any network component is properly authenticated and authorised. </t>
  </si>
  <si>
    <t>Default administrative passwords for network equipment are changed.</t>
  </si>
  <si>
    <t>Changes to the authoritative DNS entries can only be made by strongly authenticated and authorised administrators.</t>
  </si>
  <si>
    <t>14.8</t>
  </si>
  <si>
    <t>Error Message Management</t>
  </si>
  <si>
    <t>The exception handling processes is configured to ensure that error messages returned to internal or external systems or users do not include sensitive information that may be useful to attackers.</t>
  </si>
  <si>
    <t>14.9</t>
  </si>
  <si>
    <t>Penetration Testing</t>
  </si>
  <si>
    <t>Regular penetration testing for the presence of known vulnerabilities or common configuration errors is undertaken with third-parties to ensure that security controls have been well implemented and are effective.</t>
  </si>
  <si>
    <t>Perform external and internal penetration testing, including network- and application-layer penetration tests, at least annually and after any significant infrastructure or application upgrade or modification.</t>
  </si>
  <si>
    <t>•	Regular IT Health Checks (ITHCs) are implemented to seek evidence that any security mechanisms put in place are ongoing and effective and identify any current vulnerability. ITHCs should normally be conducted annually, but may be employed more frequently where appropriate.
•	Issues identified in the ITHC (including systemic issues) are addressed. Critical and High risks are either be resolved immediately or by a viable plan for resolution. Medium and Low risks may be accepted or subject to remedial action plans.</t>
  </si>
  <si>
    <t>14.10</t>
  </si>
  <si>
    <t>IP &amp; DNS Management</t>
  </si>
  <si>
    <t>The NCSC’s ACD P-DNS service is implemented where appropriate and available.</t>
  </si>
  <si>
    <t>The UK Public Sector DNS Service is used to resolve internet DNS queries.</t>
  </si>
  <si>
    <t>Organisational IP ranges are known and recorded.</t>
  </si>
  <si>
    <t>IP address traffic crossing the network boundary are monitored.</t>
  </si>
  <si>
    <t>Detect</t>
  </si>
  <si>
    <t>Incident Detection</t>
  </si>
  <si>
    <t>15.1</t>
  </si>
  <si>
    <t>Detection Capability</t>
  </si>
  <si>
    <t>Attackers attempting to use common cyber-attack techniques should not be able to gain access to data or any control of technology services without being detected.</t>
  </si>
  <si>
    <t>•	Event data is collected and retained to detect actual or potential security incidents. 
•	The organisation has a policy that describes the use cases to be detected, which define event data collection.
•	The policy includes both detection of technical attacks as well as important abuses of business processes.</t>
  </si>
  <si>
    <t>Detection (and prevention and recovery) controls to protect against malware are in place.</t>
  </si>
  <si>
    <t>Policy violations are detected against an agreed list of suspicious or undesirable behaviour.</t>
  </si>
  <si>
    <t xml:space="preserve">There is the capability to investigate AV alerts. </t>
  </si>
  <si>
    <t>Threat intelligence services are employed and used to inform anomalous activity profiles.</t>
  </si>
  <si>
    <t>There is a sufficient understanding of normal system activity (e.g. which system components should and should not be communicating with each other) to ensure that searching for system abnormalities is an effective way of detecting malicious activity.</t>
  </si>
  <si>
    <t>Descriptions of some system abnormalities that might signify malicious activity are maintained and updated, informed by past attacks and threat intelligence that takes into account the nature of attacks likely to impact on the networks and information systems.</t>
  </si>
  <si>
    <t>Routine search for system abnormalities are undertaken and alerts generated.</t>
  </si>
  <si>
    <t>15.2</t>
  </si>
  <si>
    <t>Security Monitoring</t>
  </si>
  <si>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</si>
  <si>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</si>
  <si>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Policies and processes are in place to promptly manage and respond to incidents detected by monitoring solutions.</t>
  </si>
  <si>
    <t>Alerts generated by the system monitoring strategy are based on business need and an assessment of risk. This includes both technical and transactional monitoring as appropriate.</t>
  </si>
  <si>
    <t>The monitoring capability has the ability to identify the unauthorised or accidental misuse of systems processing personal data and user access to that data, including anomalous user activity. It can tie specific users to suspicious activity.</t>
  </si>
  <si>
    <t xml:space="preserve">A centralised capability has been deployed that can collect and analyse information and alerts from across the organisation. This is automated due to the volume of data involved, enabling analysts to concentrate on anomalies or high priority alerts. </t>
  </si>
  <si>
    <t>The monitoring and analysis of audit logs is supported by a centralised and synchronised timing source that is used across the entire organisation to support incident response and investigation.</t>
  </si>
  <si>
    <t>Processes are in place to test monitoring capabilities, learn from security incidents and improve the efficiency of the monitoring capability.</t>
  </si>
  <si>
    <t>•	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t>
  </si>
  <si>
    <t>As well as the network boundary, monitoring coverage includes internal and host-based monitoring.</t>
  </si>
  <si>
    <t>The process for bringing new systems online includes considerations for access to monitoring data sources.</t>
  </si>
  <si>
    <t>Respond and Recover</t>
  </si>
  <si>
    <t>16.1</t>
  </si>
  <si>
    <t>Incident Response Protocol</t>
  </si>
  <si>
    <t>Cyber incident response policies and process are in place and these integrate with central cyber incident reporting , notification and coordination protocols.</t>
  </si>
  <si>
    <t>There is an incident response capability and management plan in place, documented, with clear pre-defined processes, actions, roles and responsibilities and clear terms of reference for decision-making and incident management.</t>
  </si>
  <si>
    <t>Specialist training is provided as required to the incident response team.</t>
  </si>
  <si>
    <t>In the event of an incident the response team is provided with audit logs holding user activities, exceptions and information security events to assist in investigations.</t>
  </si>
  <si>
    <t>The contact details of key personnel are readily available to use in the event of an incident.</t>
  </si>
  <si>
    <t>The supporting policy, processes and plans are risk based and cover any legal or regulatory reporting requirements.</t>
  </si>
  <si>
    <t>All incidents are recorded regardless of the need to report them.</t>
  </si>
  <si>
    <t xml:space="preserve">All plans supporting security incident management (including business continuity and disaster recovery plans) are regularly tested. </t>
  </si>
  <si>
    <t>The outcome of the tests and knowledge from incident management events are used to inform the future development of the incident management plans.</t>
  </si>
  <si>
    <t>For incidents that impact on the PSN, these are reported to the PSN team and other entities as required.</t>
  </si>
  <si>
    <t>The incident response plan is communicated and understood by the wider organisational business and integrated with supply chain response plans.</t>
  </si>
  <si>
    <t>Thresholds for incident definitions, classifications and assessments are in place.</t>
  </si>
  <si>
    <t>Procedures for the identification, collection, acquisition and preservation of evidence have been defined and implemented</t>
  </si>
  <si>
    <t>16.2</t>
  </si>
  <si>
    <t>Incident Reporting Procedure</t>
  </si>
  <si>
    <t xml:space="preserve">The organisation promotes an incident reporting culture that empowers staff to voice their concerns about poor security practices and security incidents to senior managers, with positive recognition and without fear of recrimination. </t>
  </si>
  <si>
    <t>Users (employees and contractors) are security aware, know their responsibilities, and understand how to report any observed or suspected security weaknesses in systems or services and how to respond to incidents.</t>
  </si>
  <si>
    <t>Users are encouraged to report any security weaknesses or incident as soon as possible, without fear of recrimination.</t>
  </si>
  <si>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</si>
  <si>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16.3</t>
  </si>
  <si>
    <t>Staff Training &amp; Testing</t>
  </si>
  <si>
    <t>A staff induction process is in place for new users (including contractors and third parties).</t>
  </si>
  <si>
    <t xml:space="preserve">All employees receive regular training on the security risks to the organisation. This is tracked and refresher training is completed at suitable intervals. </t>
  </si>
  <si>
    <t xml:space="preserve">Cyber security information and good practice guidance is easily and widely available. </t>
  </si>
  <si>
    <t>Senior accountable individuals receive appropriate training and guidance on cyber security and risk management.</t>
  </si>
  <si>
    <t xml:space="preserve">Employees in security roles are encouraged to develop and formally validate their security skills through recognised certifications and specialist training. </t>
  </si>
  <si>
    <t>The effectiveness of security training and awareness activities is monitored and tested.</t>
  </si>
  <si>
    <t>16.4</t>
  </si>
  <si>
    <t>Post-Incident Review &amp; Learning</t>
  </si>
  <si>
    <t>The senior team should take ownership of the lessons process to ensure that any actions required to improve the organisation’s cyber resilience are undertaken.</t>
  </si>
  <si>
    <t xml:space="preserve">Post-incident evidence is collected, preserved and analysed to identify and remedy the root cause. </t>
  </si>
  <si>
    <t>Root cause analysis is conducted routinely as a key part of the lessons learned activities following an incident. This is comprehensive, covering organisational process issues, as well as vulnerabilities in networks, systems or software.</t>
  </si>
  <si>
    <t>Post incident lessons are assessed and lessons implemented into future iterations of the incident management plan and the monitoring capability.</t>
  </si>
  <si>
    <t>There is a documented incident review process/policy which ensures that lessons learned from each incident are identified, captured, and acted upon.</t>
  </si>
  <si>
    <t>Lessons learned cover issues with reporting, roles, governance, skills and organisational processes as well as technical aspects of networks and information systems.</t>
  </si>
  <si>
    <t>Improvements identified as a result of lessons learned exercises are prioritised, with the highest priority improvements completed quickly.</t>
  </si>
  <si>
    <t>17.1</t>
  </si>
  <si>
    <t>Data Recovery Capability</t>
  </si>
  <si>
    <t xml:space="preserve">A data recovery capability is in place that includes a systematic approach to the backup of essential data. </t>
  </si>
  <si>
    <t>The organisation has applied suitable physical or technical means to protect this important stored data from unauthorised access, modification or deletion.</t>
  </si>
  <si>
    <t>17.2</t>
  </si>
  <si>
    <t>Backup Policies &amp; Procedures</t>
  </si>
  <si>
    <t>There is a backup policy and measures are in place to routinely maintain backup media.</t>
  </si>
  <si>
    <t>The ability to recover archived data for operational use is regularly tested.</t>
  </si>
  <si>
    <t>Physical backup media (where used) is held in a physically secure location, offsite.</t>
  </si>
  <si>
    <t>Backup copies of information, data, software and system images are taken, tested, documented and routinely reviewed.</t>
  </si>
  <si>
    <t>There are secured backups of data to allow services to continue should the original data not be available.</t>
  </si>
  <si>
    <t>Automatic and tested technical and procedural backups are secured at centrally accessible or secondary sites to recover from an extreme event.</t>
  </si>
  <si>
    <t>17.3</t>
  </si>
  <si>
    <t>Disaster Recovery Policies &amp; Procedures</t>
  </si>
  <si>
    <t>Contingency mechanisms to continue to deliver services in the event of any failure, forced shutdown, or compromise of any system or service have been identified, documented and tested.</t>
  </si>
  <si>
    <t>Restoring data and services to normal operation is a well-practised scenario.</t>
  </si>
  <si>
    <t>Disaster recovery plans and processes have been tested for practicality, effectiveness and completeness.</t>
  </si>
  <si>
    <t>Restore times to operational service are known and documented.</t>
  </si>
  <si>
    <t>The resources needed to carry out any required response activities are known, with arrangements in place to make these resources available.</t>
  </si>
  <si>
    <t>You understand the types of information that will likely be needed to inform response decisions, and arrangements are in place to make this information available, including with third-party suppliers as appropriate and where required.</t>
  </si>
  <si>
    <t>Disaster response team members have the skills and knowledge required to decide on the response actions necessary to limit harm, and the authority to carry them out.</t>
  </si>
  <si>
    <t>Back-up mechanisms are available that can be readily activated to allow continued delivery of your essential service (although possibly at a reduced level) if primary networks and information systems fail or are unavailable.</t>
  </si>
  <si>
    <t>17.4</t>
  </si>
  <si>
    <t>BC/DR Testing Policies &amp; Procedures</t>
  </si>
  <si>
    <t xml:space="preserve">Contingency mechanisms have been identified and tested to enable service continuity in the event of any failure, forced shutdown, or compromise of any system or service. </t>
  </si>
  <si>
    <t>Restoring the service to normal operation is a well-practised scenario.</t>
  </si>
  <si>
    <t>The established and implemented information security continuity controls are tested and reviewed at regular intervals in order to ensure that they are valid and effective.</t>
  </si>
  <si>
    <t xml:space="preserve">Business continuity and disaster recovery plans are tested for practicality, effectiveness and completeness to ensure they remain valid. </t>
  </si>
  <si>
    <t>Exercise scenarios are based on incidents experienced by the organisation, other organisations, or are composed using experience or threat intelligence.</t>
  </si>
  <si>
    <t>Exercise scenarios are documented, regularly reviewed, and validated.</t>
  </si>
  <si>
    <t>Exercises are routinely run, with the findings documented and used to refine incident response plans and protective security, in line with the lessons learned. </t>
  </si>
  <si>
    <t>Exercises test all parts of the response cycle relating to particular services or scenarios (e.g. restoration of normal service levels).</t>
  </si>
  <si>
    <t>17.5</t>
  </si>
  <si>
    <t>Data Protection Impact Assessments (DPIA)</t>
  </si>
  <si>
    <t>The impact of loss of availability of the service is known, understood and mitigated.</t>
  </si>
  <si>
    <t>The impact on your service of all relevant scenarios, including unauthorised data access, modification or deletion, or when authorised users are unable to appropriately access this data, are understood and documented.</t>
  </si>
  <si>
    <t>You validate these impact statements regularly, e.g. annually.</t>
  </si>
  <si>
    <t>17.6</t>
  </si>
  <si>
    <t>BC Contingency Plan</t>
  </si>
  <si>
    <t>Contingency mechanisms to continue to deliver services in the event of any failure, forced shutdown, or compromise of any system or service are identified, documented, and implemented.</t>
  </si>
  <si>
    <t>Suitable alternative transmission paths are available where there is a risk of impact on the delivery of the essential service due to resource limitation (e.g. transmission equipment or service failure, or important data being blocked or jammed).</t>
  </si>
  <si>
    <t>Information security continuity is embedded in the organisation’s wider business continuity management planning.</t>
  </si>
  <si>
    <t>The resources that will be needed to carry out any required response activities, and arrangements are in place to make these resources available.</t>
  </si>
  <si>
    <t>The types of information that will likely be needed to inform response decisions are known and documented and arrangements are in place to make this information available.</t>
  </si>
  <si>
    <t>Where necessary, arrangements are in place to augment incident response capabilities with external support (e.g. specialist providers of cyber incident response capability).</t>
  </si>
  <si>
    <t>Requirement ID</t>
  </si>
  <si>
    <t>Tier Name</t>
  </si>
  <si>
    <t>Subcategory ID</t>
  </si>
  <si>
    <t>Category ID</t>
  </si>
  <si>
    <t>Subcategory Name</t>
  </si>
  <si>
    <t>Category Name</t>
  </si>
  <si>
    <t>CRF Workbook (Detailed guidance on completion of each sub-category)</t>
  </si>
  <si>
    <t>• Services presented outside of the protected enterprise (online services for staff, mobile working etc.) should be delivered from an appropriate architecture, with access to any core information or services constrained.
• The architecture will include services to identify malware at the gateway. Where encryption prevents this, the organisation shall implement an equivalent level of protection at the end point. 
• If you are using cloud services: You may consider procurement of services which respond to different business needs and therefore have different security attributes. It is important that any interfaces between services are within scope.
• If cloud services are accessed from the organisation’s PSN-connected infrastructure, security assessments of these services should be conducted against the NCSC Cloud Security Principles.
•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
a) Is not able to use the corporate service to access the PSN in an unmediated fashion
b) Accesses the corporate service through an appropriately secured connection
c) For example, at the network layer via a VPN, or at the application layer via a protocol that implements TLS, is authenticated prior to the information being accessed with a mechanism that does not solely rely on a username and password.</t>
  </si>
  <si>
    <t>Current level</t>
  </si>
  <si>
    <t>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
c)	Out-of-date software (i.e. software that is no longer supported) is removed from computer and network devices that are connected to or capable of connecting to the internet.
d)	All security patches for software running on computers and network devices that are connected to or capable of connecting to the internet is installed in a timely manner (e.g. within 14 days of release or automatically when available from vendors).</t>
  </si>
  <si>
    <t>Security Maturity Plan: South Lanarkshire College</t>
  </si>
  <si>
    <t>No – in draft form, need approved</t>
  </si>
  <si>
    <t>Yes, HEFESTIS Risk workshop</t>
  </si>
  <si>
    <t>Yes, mandatory staff training, poster campaigns, IT alerts, staff training/development days</t>
  </si>
  <si>
    <t>No</t>
  </si>
  <si>
    <t>Complete</t>
  </si>
  <si>
    <t>Yes, through Operational Planning college function</t>
  </si>
  <si>
    <t>Yes, change control risk escalation process</t>
  </si>
  <si>
    <t>Yes, Smoothwall firewall, gold standard windows images and GPO’s, Active directory users and groups, F-secure/SCCM for malware and patching</t>
  </si>
  <si>
    <t>Yes, Cyber risk audit and cyber risk assessment</t>
  </si>
  <si>
    <t>Yes, 3 monthly security reviews are carried out to ensure measures are still in place</t>
  </si>
  <si>
    <t>Yes, CE+, Cyber risk audit and cyber risk assessment</t>
  </si>
  <si>
    <t>No – in draft form, need approved (Information asset register)</t>
  </si>
  <si>
    <t>No – in draft form, need approved (Information asset register – server and device register)</t>
  </si>
  <si>
    <t>Yes, discuss with the Audit Committee</t>
  </si>
  <si>
    <t>Yes, change control process</t>
  </si>
  <si>
    <t>NA</t>
  </si>
  <si>
    <t>Yes, risk policy manged by the risk management group</t>
  </si>
  <si>
    <t>Yes, risk manged by the risk strategy group</t>
  </si>
  <si>
    <t>Yes, standing agenda item</t>
  </si>
  <si>
    <t>Yes, within the risk register</t>
  </si>
  <si>
    <t>Yes, cyber security quarterly review</t>
  </si>
  <si>
    <t>Yes, managed by the risk strategy group</t>
  </si>
  <si>
    <t>Yes, done at change control</t>
  </si>
  <si>
    <t>Yes, risk strategy group risk register assigns owners</t>
  </si>
  <si>
    <t>Yes, through the cyber security review group</t>
  </si>
  <si>
    <t>Yes, via the risk strategy group</t>
  </si>
  <si>
    <t>Yes, via staff development days and VLE, change control</t>
  </si>
  <si>
    <t>Yes, risk strategy group promotes the culture</t>
  </si>
  <si>
    <t>No – further training from HEFESTIS</t>
  </si>
  <si>
    <t>Yes, through the operational plan</t>
  </si>
  <si>
    <t>Yes, individual accounts issued.</t>
  </si>
  <si>
    <t>Yes, controlled through Active Directory groupings.  Automatic expiry dates are set for third party accounts.</t>
  </si>
  <si>
    <t>Yes, part of the security review every quarter</t>
  </si>
  <si>
    <t>Yes, Asset FM database, Microsoft SCCM with Power BI</t>
  </si>
  <si>
    <t>Yes, Microsoft SCCM with Power BI</t>
  </si>
  <si>
    <t>N/A</t>
  </si>
  <si>
    <t>Yes, with asset audit</t>
  </si>
  <si>
    <t>Yes, with asset audit, disposal forms used</t>
  </si>
  <si>
    <t>Yes, disposal form indicates sanitisation level</t>
  </si>
  <si>
    <t>Yes, IT policy framework</t>
  </si>
  <si>
    <t>Yes, secured onsite before leaving then managed through cloud based F-Secure.</t>
  </si>
  <si>
    <t>Yes, Microsoft SCCM, audited under CE+</t>
  </si>
  <si>
    <t>Yes, Microsoft SCCM, F-Secure audited under CE+, security review every quarter to verify updates and patches being applied.</t>
  </si>
  <si>
    <t>Yes, tracked through spreadsheet on the technician’s data store</t>
  </si>
  <si>
    <t>Yes, through vendor updates, member organisations such as HEFESTIS, Jisc, CiSP.</t>
  </si>
  <si>
    <t>Yes, only admin accounts can install.  Approved software is displayed on the software centre</t>
  </si>
  <si>
    <t>Yes, in the IT policy framework and part of the security review quarterly.</t>
  </si>
  <si>
    <t>Yes, maintained through the HPIMC software</t>
  </si>
  <si>
    <t>Yes, all server rooms are fitted with UPS.</t>
  </si>
  <si>
    <t>Yes, part of the BCP documentation.</t>
  </si>
  <si>
    <t>Yes, available online to all users and pops up as you log into devices.</t>
  </si>
  <si>
    <t>Yes, Quality Working Group reviews policy documents. Quarterly meetings.</t>
  </si>
  <si>
    <t>Yes, managed by the Audit Committee</t>
  </si>
  <si>
    <t>No, Information classification and handling policy.  No records retention policy schedule and no disposal policies.</t>
  </si>
  <si>
    <t>Yes, part of the sanitisation process</t>
  </si>
  <si>
    <t>Yes, within the DP Policy Framework</t>
  </si>
  <si>
    <t>Yes, in accordance GDPR</t>
  </si>
  <si>
    <t>Yes, Outsourced to WPM for online payments. No card data held within College systems.</t>
  </si>
  <si>
    <t>Yes,, held within the disposal form.</t>
  </si>
  <si>
    <t>Yes, through AD user and groups controls, extends to cloud-based resources.  Mobile Device Management in place.</t>
  </si>
  <si>
    <t>No – to be created</t>
  </si>
  <si>
    <t>Yes, through the disposal process</t>
  </si>
  <si>
    <t xml:space="preserve">No – IAR exists, needs reviewed </t>
  </si>
  <si>
    <t>No – IAR exists with classification tab, needs reviewed along with classification policy</t>
  </si>
  <si>
    <t>No, classification process and procedures needed</t>
  </si>
  <si>
    <t>No – needed</t>
  </si>
  <si>
    <t>Yes, information is recorded within the IAR</t>
  </si>
  <si>
    <t>No – Record of Processing Activity (ROPA) should be separated, at the moment included as a column in the IAR</t>
  </si>
  <si>
    <t>Yes – Data Classification and Handling Policy</t>
  </si>
  <si>
    <t>No – IAR has columns for location, review date but not quantity</t>
  </si>
  <si>
    <t>Yes, Bitlocker enabled</t>
  </si>
  <si>
    <t>Yes, drives are encrypted where possible, TLS used for websites.</t>
  </si>
  <si>
    <t>Yes, Smoothwall VPN, and RDP services</t>
  </si>
  <si>
    <t>Yes, TLSv1.2 used and certificates manages, NCSC WebCheck</t>
  </si>
  <si>
    <t>Yes, Catering tills are WPM and connected via an external analogue phone lines</t>
  </si>
  <si>
    <t>Yes -Data Classification and Handling Policy</t>
  </si>
  <si>
    <t>Yes, Disclosure Scotland background checks. PVG (Protecting Vulnerable Group) checked.</t>
  </si>
  <si>
    <t>Yes, HR look after contracts and terms and conditions with contractors.</t>
  </si>
  <si>
    <t>Yes, HR staff induction process in place and for third parties.</t>
  </si>
  <si>
    <t>Yes, Staff and third parties sign AUP.</t>
  </si>
  <si>
    <t>Yes, AUP contains security responsibilities.</t>
  </si>
  <si>
    <t>Yes, part of the leavers process</t>
  </si>
  <si>
    <t>Yes, defined in AUP and Group Policy</t>
  </si>
  <si>
    <t>Yes, defined in AUP</t>
  </si>
  <si>
    <t>Yes, mandatory staff training, poster campaigns, IT alerts, staff training/development days.  Disciplinary process is part of the AUP.</t>
  </si>
  <si>
    <t>Yes, in the AUP</t>
  </si>
  <si>
    <t>Yes, mandatory staff training and development days</t>
  </si>
  <si>
    <t>No – testing plan required</t>
  </si>
  <si>
    <t>No – HEFESTIS workshop session</t>
  </si>
  <si>
    <t>Yes, CPD records at HR</t>
  </si>
  <si>
    <t>No – needs monitored</t>
  </si>
  <si>
    <t>No – needs formalised</t>
  </si>
  <si>
    <t>Yes, part of their job description</t>
  </si>
  <si>
    <t>Yes, part of their job description, reviewed at one to one sessions</t>
  </si>
  <si>
    <t>Yes, Mobile Device Management and AUP</t>
  </si>
  <si>
    <t>Yes, Mobile Device Management provides for this ability for different technical platforms</t>
  </si>
  <si>
    <t>Yes, Mobile Device Management</t>
  </si>
  <si>
    <t>Yes, Mobile Device Management and email policy</t>
  </si>
  <si>
    <t>No – need documentation</t>
  </si>
  <si>
    <t>Yes, VLANs used to segregate networks</t>
  </si>
  <si>
    <t>Yes, within the BCP documentation</t>
  </si>
  <si>
    <t>Yes, within the BCP documentation. Spilt internet services</t>
  </si>
  <si>
    <t>Yes, via the HR onboarding process.</t>
  </si>
  <si>
    <t>Yes, AD password policy</t>
  </si>
  <si>
    <t>Yes, as part of the build standard</t>
  </si>
  <si>
    <t>Yes, AUP</t>
  </si>
  <si>
    <t>Yes, auto expire on third party account access and leaver process</t>
  </si>
  <si>
    <t>Yes, done quarterly at the security review</t>
  </si>
  <si>
    <t>Yes, admin policy for separate accounts, MFA enabled and passwords never stored as plain text.</t>
  </si>
  <si>
    <t>Yes, AD uses groups</t>
  </si>
  <si>
    <t>Yes, AD authentication</t>
  </si>
  <si>
    <t>No – MFA project</t>
  </si>
  <si>
    <t>Yes, for in scope PCI.</t>
  </si>
  <si>
    <t>No – Graylog project</t>
  </si>
  <si>
    <t>Yes, controlled by AD security groups</t>
  </si>
  <si>
    <t>Yes, as part of the quarterly security review</t>
  </si>
  <si>
    <t>Yes, controlled by AD security groups and specific username and passwords to bespoke systems</t>
  </si>
  <si>
    <t>Yes, AD and network segmentation.</t>
  </si>
  <si>
    <t>Yes, AD Group Policy. Reviewed at Security Review.</t>
  </si>
  <si>
    <t>Yes, GitHub branching</t>
  </si>
  <si>
    <t>Yes, enforced by administrative policy</t>
  </si>
  <si>
    <t>Yes, reviewed by quarterly security review</t>
  </si>
  <si>
    <t>Yes, asset records and SCCM</t>
  </si>
  <si>
    <t>Yes, disposal process</t>
  </si>
  <si>
    <t>Yes, automatically scanned when mounted</t>
  </si>
  <si>
    <t>No – IT policy framework need approval adn , BitLocker on laptops</t>
  </si>
  <si>
    <t>Yes, baseline build by MDM</t>
  </si>
  <si>
    <t>Yes, MDM and Prey</t>
  </si>
  <si>
    <t>Yes, MDM which limits sync and has remote wipe</t>
  </si>
  <si>
    <t>No – review as part of data classification</t>
  </si>
  <si>
    <t>No – IT policy framework need approval and BitLocker on laptops</t>
  </si>
  <si>
    <t>Yes, outsourced WorldPay</t>
  </si>
  <si>
    <t>Yes, MDM</t>
  </si>
  <si>
    <t>Yes, documented under BCP as HVAC</t>
  </si>
  <si>
    <t>Yes, power and cooling protection, documented in the BCP HVAC section.</t>
  </si>
  <si>
    <t>Yes, UPS and load balanced and failover resilient network with two connections to Jisc.</t>
  </si>
  <si>
    <t>Yes, physical door locks and card access control</t>
  </si>
  <si>
    <t xml:space="preserve">Yes, sign in books, card issuing for visitors, physical access control. </t>
  </si>
  <si>
    <t>Yes, report to reception with access control to delivery areas</t>
  </si>
  <si>
    <t>Yes, defined in the BCP documentation. Cabinet key control for security</t>
  </si>
  <si>
    <t>Yes, managed by facilities.</t>
  </si>
  <si>
    <t>Yes, reviewed at security review quarterly</t>
  </si>
  <si>
    <t>Yes, enforced password policy</t>
  </si>
  <si>
    <t>Yes, computer limited to approved software only and reviewed at the security review group</t>
  </si>
  <si>
    <t>Yes, enabled via GPO</t>
  </si>
  <si>
    <t>Yes, enforced by F-Secure policies</t>
  </si>
  <si>
    <t>Yes, build documentation and gold standard image configs</t>
  </si>
  <si>
    <t>Yes, part of the build</t>
  </si>
  <si>
    <t>Yes, as part of the build documentation</t>
  </si>
  <si>
    <t>Yes, F-Secure does most of it and GPO policies prevent control of applications and the security review quarterly review it.</t>
  </si>
  <si>
    <t>Yes, via change control</t>
  </si>
  <si>
    <t>Yes, vendor, third party memberships HEFESTIS, Jisc, CiSP, UCISA</t>
  </si>
  <si>
    <t>Yes,  defined by GPO</t>
  </si>
  <si>
    <t>N/A no development of applications that use credit card detail</t>
  </si>
  <si>
    <t>No – requires a developer policy</t>
  </si>
  <si>
    <t>N/A all development done inhouse</t>
  </si>
  <si>
    <t>Yes, as part of job descriptions</t>
  </si>
  <si>
    <t>No - network segmentation project</t>
  </si>
  <si>
    <t xml:space="preserve">No – documentation needed </t>
  </si>
  <si>
    <t>Yes, we have backups of network switches and configs</t>
  </si>
  <si>
    <t>Yes, set by GPO</t>
  </si>
  <si>
    <t>Yes, for operational planning</t>
  </si>
  <si>
    <t>No – CE+ verification but a wider penetration test is required</t>
  </si>
  <si>
    <t>N/A outsourced</t>
  </si>
  <si>
    <t>Yes, CE+ and vulnerability scanning</t>
  </si>
  <si>
    <t>No – pentest required</t>
  </si>
  <si>
    <t>Yes, through digital champions group</t>
  </si>
  <si>
    <t>Yes, CE+</t>
  </si>
  <si>
    <t>Yes, F-Secure</t>
  </si>
  <si>
    <t>Yes, MailCheck</t>
  </si>
  <si>
    <t>Yes, TLSv1.2 enabled</t>
  </si>
  <si>
    <t>Yes, DMARC, DKIM and SPF enabled on mail route.</t>
  </si>
  <si>
    <t>Yes, mail route.  CE+ tested</t>
  </si>
  <si>
    <t>Yes, currently using it</t>
  </si>
  <si>
    <t>Yes, we use all available services</t>
  </si>
  <si>
    <t>Yes, through vul scanning quarterly</t>
  </si>
  <si>
    <t>No – no system for this (graylog?)</t>
  </si>
  <si>
    <t>Yes – smoothwall has AV and malware scanning</t>
  </si>
  <si>
    <t>Yes, via the quarterly security review</t>
  </si>
  <si>
    <t>No, needs risk register</t>
  </si>
  <si>
    <t>Yes, threat intel process every friday</t>
  </si>
  <si>
    <t>Yes, smoothwall web filtering, firewall and HTTPS inspection. Reviewed in security review quarterly</t>
  </si>
  <si>
    <t>Yes – done via system centre and f-secure for 3rd part applications for updates from the vendor. Tracked and maintained by threat intelligence and power bi reporting to confirm the software is updated or removed. Audited by CE+</t>
  </si>
  <si>
    <t>Yes – IT Policy framework, but also CE+ requires this and is maintained by the security review every quarter</t>
  </si>
  <si>
    <t>Yes – CE+ requires that the device for bespoke software that is required by the business is taken out of scope with restriction to the network only for those using the software e.g. finance for bluqube</t>
  </si>
  <si>
    <t>Yes – we regularly look for and update firmware, software and hardware on a yearly cycle and use the threat intelligence to find more information</t>
  </si>
  <si>
    <t>Yes – f-secure web scanning from the client, smoothwall for web filtering within the college</t>
  </si>
  <si>
    <t>Yes – content filtering on the smoothwall at the perimeter, malicious code scanner on both the smoothwall and f-secure</t>
  </si>
  <si>
    <t>Yes – part of the software control</t>
  </si>
  <si>
    <t>No – only admin accounts are monitored currently, graylog still to come</t>
  </si>
  <si>
    <t>No – Graylog</t>
  </si>
  <si>
    <t>No – Graylog - alerts</t>
  </si>
  <si>
    <t>Yes – part of the GPO and CE+ verified</t>
  </si>
  <si>
    <t>Yes – system centre for windows update, f-secure for any that get missed</t>
  </si>
  <si>
    <t>Yes – system centre for windows update, f-secure for any that get missed. Incident response process</t>
  </si>
  <si>
    <t>Yes – part of the cyber resilience meeting monthly and elevated to change control</t>
  </si>
  <si>
    <t>No – not sure what defines this</t>
  </si>
  <si>
    <t>Yes – system centre and Power BI</t>
  </si>
  <si>
    <t>Yes – standard authentication via AD for all devices</t>
  </si>
  <si>
    <t>No – network segmentation??</t>
  </si>
  <si>
    <t xml:space="preserve">No </t>
  </si>
  <si>
    <t>No – network segmentation?? User segmentation?</t>
  </si>
  <si>
    <t>Yes – Smoothwall (bitdefender scanner) and f-secure is internal to the device</t>
  </si>
  <si>
    <t>No – network segmentation project</t>
  </si>
  <si>
    <t>No – graylog project</t>
  </si>
  <si>
    <t>Yes – Only authentication users can join the wifi, radius implemented</t>
  </si>
  <si>
    <t>Yes – built-in to the aruba controller</t>
  </si>
  <si>
    <t>Yes – Smoothwall and client firewall are enforce on</t>
  </si>
  <si>
    <t>Yes – standard build to change password</t>
  </si>
  <si>
    <t>Yes – this is documented along with the security review documentation. Additional requests are done via the web change request form</t>
  </si>
  <si>
    <t>Yes – Known open services are blocked in the firewall rules</t>
  </si>
  <si>
    <t>Yes – very little change is required with firewalls but they are decommissioned correctly when they are</t>
  </si>
  <si>
    <t>Yes – the remote admin is disabled and can only be access from computers within the network</t>
  </si>
  <si>
    <t>Yes – catch all rule on the firewall</t>
  </si>
  <si>
    <t>Yes – close monitoring using smoothwall reporting software and F-secure reporting</t>
  </si>
  <si>
    <t>Yes – admin specific accounts for network components</t>
  </si>
  <si>
    <t>Yes – as part of standard build</t>
  </si>
  <si>
    <t>Yes – no non-admins can access this</t>
  </si>
  <si>
    <t>Yes – this is part of the security review every 3 months</t>
  </si>
  <si>
    <t>Yes - developers especially display error messages and collect verbose login privately.</t>
  </si>
  <si>
    <t>No – pen testing required</t>
  </si>
  <si>
    <t>Yes – with Janet CSIRT and is monitored</t>
  </si>
  <si>
    <t xml:space="preserve">Yes – monitored with the smoothwall and on client machines (IDS and IPS at perimeter) </t>
  </si>
  <si>
    <t>No – this needs more detection process involved – graylog and information from f-secure and smoothwall</t>
  </si>
  <si>
    <t>No – incident response in draft form, needs approved</t>
  </si>
  <si>
    <t>No – no current control of this</t>
  </si>
  <si>
    <t>Yes – basic but is covered by a snort within the smoothwall</t>
  </si>
  <si>
    <t>Yes – basic alerting is done by Smoothwall, alerts sent to itsupport ticket system</t>
  </si>
  <si>
    <t>No – not fully, graylog</t>
  </si>
  <si>
    <t>No – graylog project/Ailen vault?</t>
  </si>
  <si>
    <t>No – no systems, so no tests are done</t>
  </si>
  <si>
    <t>Yes – users are currently asked to respond to anything they see or experience and are openly welcomed to let the IT team know</t>
  </si>
  <si>
    <t>Yes – HR</t>
  </si>
  <si>
    <t>Yes – HR and staff development days, alerts from IT</t>
  </si>
  <si>
    <t>Yes – via moodle mandatory courses</t>
  </si>
  <si>
    <t xml:space="preserve">Yes – threat landscape, CISP and Bulletins </t>
  </si>
  <si>
    <t>No – not formally</t>
  </si>
  <si>
    <t>Yes – veeam onsite back with offsite back to azure and off-network backup to tape</t>
  </si>
  <si>
    <t>Yes – backup procedure and policy in place, IT policy framework will support that</t>
  </si>
  <si>
    <t>Yes – part of the BCDR schedule in IT</t>
  </si>
  <si>
    <t>Yes – physical tapes are held off site</t>
  </si>
  <si>
    <t>Yes – part of the backup policy</t>
  </si>
  <si>
    <t>Yes – nightly, weekly upto 6 weeks. Shadow copy every hour on data servers</t>
  </si>
  <si>
    <t>Yes – Veeam is secured to it’s own SAN’s and Servers</t>
  </si>
  <si>
    <t>Yes – failovers are in place, BCP documentation reflects this</t>
  </si>
  <si>
    <t>Yes – Staff are trained to respond to backup restores</t>
  </si>
  <si>
    <t>No – not formally or fully. Tests have been carried out but a scheduled plan has not been agreed</t>
  </si>
  <si>
    <t>Yes – from the tests that have been completed RTO’s for systems have been recorded and are accurate</t>
  </si>
  <si>
    <t>No – not formally or fully.</t>
  </si>
  <si>
    <t>No – this is still in draft within the BCP documentation for departments</t>
  </si>
  <si>
    <t xml:space="preserve">No – training still required off the back of the BCP documentation </t>
  </si>
  <si>
    <t>Yes – tests have been carried out and are documented for our systems</t>
  </si>
  <si>
    <t>Yes – staff are trained</t>
  </si>
  <si>
    <t>Yes – review in security review quarterly</t>
  </si>
  <si>
    <t>No – not formally, draft needs approved</t>
  </si>
  <si>
    <t>Yes – documented in the BCP documents and Information Asset Register has vital record indicator</t>
  </si>
  <si>
    <t>Yes – documented in IT BCP documentation. College wide documentation needs approved</t>
  </si>
  <si>
    <t>No – needs added to the IT BCP</t>
  </si>
  <si>
    <t xml:space="preserve">No – Unknown where this is </t>
  </si>
  <si>
    <t>No – possibly BCP documentation which is in draft</t>
  </si>
  <si>
    <t>There are suitable physical or technical means to protect stored data from unauthorised access, modification or deletion through unauthorised access to storage media.</t>
  </si>
  <si>
    <t>Review date</t>
  </si>
  <si>
    <t>Row Labels</t>
  </si>
  <si>
    <t>Grand Total</t>
  </si>
  <si>
    <t>Column Labels</t>
  </si>
  <si>
    <t>Count of Status</t>
  </si>
  <si>
    <t>RiskBV</t>
  </si>
  <si>
    <t>RiskTV</t>
  </si>
  <si>
    <t>RiskAV</t>
  </si>
  <si>
    <t>No baseline modify RiskTV RiskAV to compensate</t>
  </si>
  <si>
    <t>Term</t>
  </si>
  <si>
    <t>Definition</t>
  </si>
  <si>
    <t>No baseline, no advance modify RiskAV to compensate</t>
  </si>
  <si>
    <t>Baseline-C</t>
  </si>
  <si>
    <t>Number of complete Baseline controls</t>
  </si>
  <si>
    <t>No advance, modify RiskBV RiskTV to compensate</t>
  </si>
  <si>
    <t>Baseline-T</t>
  </si>
  <si>
    <t>Total number of Baseline controls</t>
  </si>
  <si>
    <t>No baseline, no advance modify RiskTV to compensate</t>
  </si>
  <si>
    <t>Target-C</t>
  </si>
  <si>
    <t>Number of complete Target controls</t>
  </si>
  <si>
    <t>No target, no advance modify RiskBV to compensate</t>
  </si>
  <si>
    <t>Target-T</t>
  </si>
  <si>
    <t>Total number of Target controls</t>
  </si>
  <si>
    <t>Advanced-C</t>
  </si>
  <si>
    <t>Number of complete Advanced controls</t>
  </si>
  <si>
    <t>ThreatEnv</t>
  </si>
  <si>
    <t>High</t>
  </si>
  <si>
    <t>Med</t>
  </si>
  <si>
    <t>Low</t>
  </si>
  <si>
    <t>Advanced-T</t>
  </si>
  <si>
    <t>Total number Advanced controls</t>
  </si>
  <si>
    <t>RiskB</t>
  </si>
  <si>
    <t>Calculation of Baseline risk reduction percentage</t>
  </si>
  <si>
    <t>RiskT</t>
  </si>
  <si>
    <t>Calculation of Target risk reduction percentage</t>
  </si>
  <si>
    <t>Risk ID</t>
  </si>
  <si>
    <t>Risk Category</t>
  </si>
  <si>
    <t>RiskA</t>
  </si>
  <si>
    <t>RiskR</t>
  </si>
  <si>
    <t>RiskL</t>
  </si>
  <si>
    <t>RiskM</t>
  </si>
  <si>
    <t>Inherent Risk</t>
  </si>
  <si>
    <t>Residual Risk</t>
  </si>
  <si>
    <t>RiskTM</t>
  </si>
  <si>
    <t>T Residual Risk</t>
  </si>
  <si>
    <t>Calculation of Advanced risk reduction percentage</t>
  </si>
  <si>
    <t>Calculation of total risk reduction percentage</t>
  </si>
  <si>
    <t>Calculation of percentage risk left</t>
  </si>
  <si>
    <t>Risk reduction multiplier</t>
  </si>
  <si>
    <t>Risk Baseline Variable for percentage of total risk</t>
  </si>
  <si>
    <t>Risk Target Variable for percentage of total risk</t>
  </si>
  <si>
    <t>Risk Advanced Variable for percentage of total risk</t>
  </si>
  <si>
    <t>Threat landscape Environmental risk multiplier</t>
  </si>
  <si>
    <t>High Environmental risk multiplier value</t>
  </si>
  <si>
    <t>Medium Environmental risk multiplier value</t>
  </si>
  <si>
    <t>Low Environmental risk multiplier value</t>
  </si>
  <si>
    <t>Risk threat environment multiplier</t>
  </si>
  <si>
    <t>Threat environment calculated residual risk</t>
  </si>
  <si>
    <t>(Multiple Items)</t>
  </si>
  <si>
    <t>(Residual Risk Score/Total Number of Risks)</t>
  </si>
  <si>
    <t>Mean risk score</t>
  </si>
  <si>
    <t>Target Risk</t>
  </si>
  <si>
    <t>Ref</t>
  </si>
  <si>
    <t>Risk Status</t>
  </si>
  <si>
    <t>Risk Title</t>
  </si>
  <si>
    <t>Risk Causes (Descriptions)</t>
  </si>
  <si>
    <t>Risk Consequences</t>
  </si>
  <si>
    <t>Risk Areas</t>
  </si>
  <si>
    <t>Modified</t>
  </si>
  <si>
    <t>Inherent Risk Score</t>
  </si>
  <si>
    <t>Risk Appetite</t>
  </si>
  <si>
    <t>Existing Controls</t>
  </si>
  <si>
    <t>Residual (Current) Risk Score</t>
  </si>
  <si>
    <t>Target Risk Level</t>
  </si>
  <si>
    <t>Maturity Model Reference</t>
  </si>
  <si>
    <t>Future Controls</t>
  </si>
  <si>
    <t>Completion Date</t>
  </si>
  <si>
    <t>Action Owner</t>
  </si>
  <si>
    <t>ICS_01</t>
  </si>
  <si>
    <t>Active</t>
  </si>
  <si>
    <r>
      <rPr>
        <b/>
        <sz val="11"/>
        <color theme="1"/>
        <rFont val="Calibri"/>
        <family val="2"/>
        <scheme val="minor"/>
      </rPr>
      <t>Lack of structures, policies and processes demonstrating commitment to Information Security.</t>
    </r>
    <r>
      <rPr>
        <sz val="11"/>
        <color theme="1" tint="0.24994659260841701"/>
        <rFont val="Calibri"/>
        <family val="2"/>
        <scheme val="minor"/>
      </rPr>
      <t xml:space="preserve">
The lack of a governance framework, a lack of clarity over leadership roles and responsibilities, poor adoption of assurance standards, and inadequate audit assurance compliance. </t>
    </r>
  </si>
  <si>
    <t>Exclusion from supply chains, inability to attract research funding and from creating partnerships with industry bodies.
Operational activities stalled through confusion about roles and responsibilities of staff members leading to loss of service.</t>
  </si>
  <si>
    <t>Compliance
Reputation
Infrastructure
Financial</t>
  </si>
  <si>
    <t>Governance Framework
Leadership &amp; Responsibility
Adoption of Assurance Standards
Information Asset Register
Audit/Assurance Compliance</t>
  </si>
  <si>
    <t>1. Organisational Governance</t>
  </si>
  <si>
    <t>Manager 1</t>
  </si>
  <si>
    <t>ICS_02</t>
  </si>
  <si>
    <r>
      <t xml:space="preserve">Lack of Cyber/Information Security Risk management procedures and training.
</t>
    </r>
    <r>
      <rPr>
        <sz val="11"/>
        <color theme="1" tint="0.24994659260841701"/>
        <rFont val="Calibri"/>
        <family val="2"/>
        <scheme val="minor"/>
      </rPr>
      <t>Lack of risk governance, processes and procedures, inadequate risk assessments and undefined risk treatments</t>
    </r>
    <r>
      <rPr>
        <b/>
        <sz val="11"/>
        <color theme="1"/>
        <rFont val="Calibri"/>
        <family val="2"/>
        <scheme val="minor"/>
      </rPr>
      <t>.</t>
    </r>
  </si>
  <si>
    <t>Areas of significant risk will not be prioritised for action. Substantial risks to security will go unadressed/unmanaged. Risks will not be communicated or escalated to the appropriate responsible person.</t>
  </si>
  <si>
    <t>Policy &amp; Processes
Cyber / Information Risk Assessment
Risk Treatment &amp; Tolerance
Risk Governance</t>
  </si>
  <si>
    <t>2. Risk Management</t>
  </si>
  <si>
    <t>ICS_03</t>
  </si>
  <si>
    <r>
      <rPr>
        <b/>
        <sz val="11"/>
        <color theme="1"/>
        <rFont val="Calibri"/>
        <family val="2"/>
        <scheme val="minor"/>
      </rPr>
      <t xml:space="preserve">Lack of processes and procedures for the management of partnerships with suppliers and the delivery of their products and services. </t>
    </r>
    <r>
      <rPr>
        <sz val="11"/>
        <color theme="1" tint="0.24994659260841701"/>
        <rFont val="Calibri"/>
        <family val="2"/>
        <scheme val="minor"/>
      </rPr>
      <t xml:space="preserve">
Insufficient supply chain assurance, confusion over roles and responsibilities, undefined access controls to UoS systems and lack of security in procurement (i.e. contractual clauses). </t>
    </r>
  </si>
  <si>
    <t>Inability to use externally hosted resources or applications.
Inability to deliver a particular element of the Partnership IT service.
Increased exposure to supply chain attacks.</t>
  </si>
  <si>
    <t>Compliance
Reputation
Financial</t>
  </si>
  <si>
    <t>Supply Chain Assurance
Roles and Responsibilities
Access control
Security in Procurements</t>
  </si>
  <si>
    <t>3. Supplier Management</t>
  </si>
  <si>
    <t>ICS_04</t>
  </si>
  <si>
    <r>
      <rPr>
        <b/>
        <sz val="11"/>
        <color theme="1"/>
        <rFont val="Calibri"/>
        <family val="2"/>
        <scheme val="minor"/>
      </rPr>
      <t>Inadequate management of hardware, software and critical infrastructure assets.</t>
    </r>
    <r>
      <rPr>
        <sz val="11"/>
        <color theme="1" tint="0.24994659260841701"/>
        <rFont val="Calibri"/>
        <family val="2"/>
        <scheme val="minor"/>
      </rPr>
      <t xml:space="preserve">
Assets associated with information and information processing facilities are not consistently identified and a single inventory of these assets is not fully maintained.
</t>
    </r>
  </si>
  <si>
    <t xml:space="preserve">Inability to protect and detect loss of hardware assets containing University data, potential legal action over software licencing issues including copyright infringements, inability to secure assets from attack, fined for failure to comply with legislative frameworks. </t>
  </si>
  <si>
    <t>Compliance
Infrastructure
Financial</t>
  </si>
  <si>
    <t>Hardware Assets
Software Assets
Infrastructure management</t>
  </si>
  <si>
    <t>4. Asset Management</t>
  </si>
  <si>
    <t>ICS_05</t>
  </si>
  <si>
    <r>
      <t xml:space="preserve">Inappropriate security measures for protecting data, services and systems.
</t>
    </r>
    <r>
      <rPr>
        <sz val="11"/>
        <color theme="1" tint="0.24994659260841701"/>
        <rFont val="Calibri"/>
        <family val="2"/>
        <scheme val="minor"/>
      </rPr>
      <t xml:space="preserve">Lack of security policies and processes, poor lifecycle management, insufficient security for storage facilities. </t>
    </r>
  </si>
  <si>
    <t xml:space="preserve">A compromise of university data, services and systems. Potential data breaches leading to fines from the ICO. Reputational damage as a result of negative publicity. Operational disruption. </t>
  </si>
  <si>
    <t>Compliance
Reputation
Financial
Infrastructure</t>
  </si>
  <si>
    <t>Security Policy &amp; Processes
Lifecycle Management
Storage
Information / Data Classification
Information Asset Register
Information / Data Transfer Controls</t>
  </si>
  <si>
    <t>5. Information Security Management</t>
  </si>
  <si>
    <t>ICS_06</t>
  </si>
  <si>
    <r>
      <t xml:space="preserve">
</t>
    </r>
    <r>
      <rPr>
        <b/>
        <sz val="11"/>
        <color theme="1"/>
        <rFont val="Calibri"/>
        <family val="2"/>
        <scheme val="minor"/>
      </rPr>
      <t xml:space="preserve">Lack of HR controls such as security checks and training for staff and contractors during their engagement with the University. </t>
    </r>
    <r>
      <rPr>
        <sz val="11"/>
        <color theme="1" tint="0.24994659260841701"/>
        <rFont val="Calibri"/>
        <family val="2"/>
        <scheme val="minor"/>
      </rPr>
      <t xml:space="preserve">
Inadequate screening prior to employment, confusion over responsibilities during employment, a lack of staff training and awareness culture, poor staff skills assessments, and a lack of mobile/remote working policy.</t>
    </r>
  </si>
  <si>
    <t>Increased threat of internal threat actor activity.  Either malicious in intent or due to user negligence or mistake. Theft of data (including research or personal data), loss, corruption or disclosure of restricted or confidential data. Potential data breaches leading to fines from the ICO. Reputational damage as a result of negative publicity.</t>
  </si>
  <si>
    <t>Prior to Employment
During Employment
Staff Training &amp; Awareness Culture: 
Staff Skills Assessment
Mobile / Remote Working Policy</t>
  </si>
  <si>
    <t>6. People</t>
  </si>
  <si>
    <t>ICS_07</t>
  </si>
  <si>
    <r>
      <rPr>
        <b/>
        <sz val="11"/>
        <color theme="1"/>
        <rFont val="Calibri"/>
        <family val="2"/>
        <scheme val="minor"/>
      </rPr>
      <t xml:space="preserve">Underinvestment in service resources 
</t>
    </r>
    <r>
      <rPr>
        <sz val="11"/>
        <color theme="1" tint="0.24994659260841701"/>
        <rFont val="Calibri"/>
        <family val="2"/>
        <scheme val="minor"/>
      </rPr>
      <t>Inadequate design for resilience, a lack of segmentation and unmitigated resource limitations.</t>
    </r>
  </si>
  <si>
    <t xml:space="preserve">The inability to maintain service delivery with current resource, the service becoming unavailable as a result leading to disruption of business operations. Increased exposure to attack, for example lateral movement through a lack of segmentation, leading to data being stolen, lost or corrupted. </t>
  </si>
  <si>
    <t>7. Services Resilience</t>
  </si>
  <si>
    <t>ICS_08</t>
  </si>
  <si>
    <r>
      <rPr>
        <b/>
        <sz val="11"/>
        <color theme="1"/>
        <rFont val="Calibri"/>
        <family val="2"/>
        <scheme val="minor"/>
      </rPr>
      <t>Lack of processes and appropriate technologies for account management.</t>
    </r>
    <r>
      <rPr>
        <sz val="11"/>
        <color theme="1" tint="0.24994659260841701"/>
        <rFont val="Calibri"/>
        <family val="2"/>
        <scheme val="minor"/>
      </rPr>
      <t xml:space="preserve">
Inadequate account management, weak identity authentication, a lack of privilege and administrator account management.</t>
    </r>
  </si>
  <si>
    <t>Increased threat actor activity.  Either malicious in intent or due to user negligence or mistake. Data theft; loss, corruption or disclosure of restricted or confidential data; permission creep increasing the threat of unwanted access or privileges to systems.
Potential data breaches leading to fines from the ICO. Reputational damage as a result of negative publicity.</t>
  </si>
  <si>
    <t>Account Management
Identity Authentication
Privilege Management
Administrator Account Management</t>
  </si>
  <si>
    <t>8. Access Control</t>
  </si>
  <si>
    <t>ICS_09</t>
  </si>
  <si>
    <r>
      <rPr>
        <b/>
        <sz val="11"/>
        <color theme="1"/>
        <rFont val="Calibri"/>
        <family val="2"/>
        <scheme val="minor"/>
      </rPr>
      <t>Poor management of security controls for fixed and portable storage media.</t>
    </r>
    <r>
      <rPr>
        <sz val="11"/>
        <color theme="1" tint="0.24994659260841701"/>
        <rFont val="Calibri"/>
        <family val="2"/>
        <scheme val="minor"/>
      </rPr>
      <t xml:space="preserve">
Poor management of storage media and mobile media or devices (e.g. laptops and mobile phones), weak cryptography and a lack of remote wipe capability.</t>
    </r>
  </si>
  <si>
    <t>Loss or theft of personal or confidential data due to storage on unencrypted USB drive/CD/DVD/External hard drives.
Copying and transfer of data in an insecure fashion leading to potential data breaches and fines from the ICO. Reputational damage as a result of negative publicity.</t>
  </si>
  <si>
    <t>Storage Media
Mobile Media / Devices
Cryptography
Remote Wipe Capability</t>
  </si>
  <si>
    <t>9. Media Management</t>
  </si>
  <si>
    <t>ICS_10</t>
  </si>
  <si>
    <r>
      <rPr>
        <b/>
        <sz val="11"/>
        <color theme="1"/>
        <rFont val="Calibri"/>
        <family val="2"/>
        <scheme val="minor"/>
      </rPr>
      <t xml:space="preserve">Lack of planning for environmental threats. </t>
    </r>
    <r>
      <rPr>
        <sz val="11"/>
        <color theme="1" tint="0.24994659260841701"/>
        <rFont val="Calibri"/>
        <family val="2"/>
        <scheme val="minor"/>
      </rPr>
      <t xml:space="preserve">
A lack of proper survey in to the location of equipment, and poor planning for power resiliency. </t>
    </r>
  </si>
  <si>
    <t>A preventable catastophic event  damages a data centre
that is suseptable to environmental threats such as fire/water damage/overheating taking critical services offline.</t>
  </si>
  <si>
    <t>Equipment Location
Power Resilience</t>
  </si>
  <si>
    <t>ICS_11</t>
  </si>
  <si>
    <r>
      <t xml:space="preserve">Poor physical access controls and internal security monitoring. 
</t>
    </r>
    <r>
      <rPr>
        <sz val="11"/>
        <color theme="1" tint="0.24994659260841701"/>
        <rFont val="Calibri"/>
        <family val="2"/>
        <scheme val="minor"/>
      </rPr>
      <t>Poor protections against unauthorised access. Undefined internal security perimeters and lack of alerting systems.</t>
    </r>
  </si>
  <si>
    <t xml:space="preserve">Unauthorised accees to systems and data resulting in destruction, corruption, loss or theft of services, data and devices.
Potential data breaches leading to fines from the ICO. Reputational damage as a result of negative publicity.
</t>
  </si>
  <si>
    <t>Access Control
Internal Security</t>
  </si>
  <si>
    <t>11. Physical/building security</t>
  </si>
  <si>
    <t>ICS_12</t>
  </si>
  <si>
    <r>
      <rPr>
        <b/>
        <sz val="11"/>
        <color theme="1"/>
        <rFont val="Calibri"/>
        <family val="2"/>
        <scheme val="minor"/>
      </rPr>
      <t xml:space="preserve">Lack of system management processes and procedures.
</t>
    </r>
    <r>
      <rPr>
        <sz val="11"/>
        <color theme="1" tint="0.24994659260841701"/>
        <rFont val="Calibri"/>
        <family val="2"/>
        <scheme val="minor"/>
      </rPr>
      <t>Poor security configurations, ineffective security design and development, a lack of change control procedures, and insufficient system testing.</t>
    </r>
  </si>
  <si>
    <t>Unauthorised system changes, poor development practices and configuration error increases the attack surface and number of vulnerabilities, leading to systems and data compromise.
Disruption to business operations and services. 
Potential data breaches leading to fines from the ICO. Reputational damage as a result of negative publicity.</t>
  </si>
  <si>
    <t>Secure Configuration
Secure Design / Development
Change Control Procedures: 
System Testing</t>
  </si>
  <si>
    <t>ICS_13</t>
  </si>
  <si>
    <r>
      <rPr>
        <b/>
        <sz val="11"/>
        <color theme="1"/>
        <rFont val="Calibri"/>
        <family val="2"/>
        <scheme val="minor"/>
      </rPr>
      <t xml:space="preserve">Insufficient operational security policies and technologies. </t>
    </r>
    <r>
      <rPr>
        <sz val="11"/>
        <color theme="1" tint="0.24994659260841701"/>
        <rFont val="Calibri"/>
        <family val="2"/>
        <scheme val="minor"/>
      </rPr>
      <t xml:space="preserve">
Misconfigured malware policies and protection, ineffective email and application security, a lack of vulnerability management and scanning, poor data exfiltration monitoring, inefficient management of software updates, poor monitoring of user activity.</t>
    </r>
  </si>
  <si>
    <t>Failure to effectively monitor, manage or secure services from attack, slow/inefficient response and recovery from cyber security incidents and failing to comply with the legislative framework governing information handling leading to a critical failure of  support systems.</t>
  </si>
  <si>
    <t>Malware Policies &amp; Protection
Email Security
Application Security
Vulnerability Management &amp; Scanning
Data Exfiltration Monitoring
Software Supported &amp; Updated
Website Screening
Browser Management
Monitor / Audit User Activity
Disabled Auto-Run</t>
  </si>
  <si>
    <t>ICS_14</t>
  </si>
  <si>
    <r>
      <rPr>
        <b/>
        <sz val="11"/>
        <color theme="1"/>
        <rFont val="Calibri"/>
        <family val="2"/>
        <scheme val="minor"/>
      </rPr>
      <t>A lack of proper security configurations, updates and testing for network attached devices.</t>
    </r>
    <r>
      <rPr>
        <sz val="11"/>
        <color theme="1" tint="0.24994659260841701"/>
        <rFont val="Calibri"/>
        <family val="2"/>
        <scheme val="minor"/>
      </rPr>
      <t xml:space="preserve">
Poor device and patch management, a lack of content screening, a lack of internal segregation, ineffective wireless security, poor boundary firewall management, weak administrative control, irregular and unfocused penetration testing.</t>
    </r>
  </si>
  <si>
    <t>Insecure devices with known and unknown vulnerabilities leading to increased successful attacks, compromised devices, systems and services as well as data disclosure.</t>
  </si>
  <si>
    <t>Patch Management
Device Management
Content Screening
Internal Segregation
Wireless Security
Boundary / Firewall Management
Administrator Control
Error Message Management
Penetration Testing
IP &amp; DNS Management</t>
  </si>
  <si>
    <t>ICS_15</t>
  </si>
  <si>
    <r>
      <rPr>
        <b/>
        <sz val="11"/>
        <color theme="1"/>
        <rFont val="Calibri"/>
        <family val="2"/>
        <scheme val="minor"/>
      </rPr>
      <t xml:space="preserve">Lack of security monitoring and detection of events.
</t>
    </r>
    <r>
      <rPr>
        <sz val="11"/>
        <color theme="1" tint="0.24994659260841701"/>
        <rFont val="Calibri"/>
        <family val="2"/>
        <scheme val="minor"/>
      </rPr>
      <t xml:space="preserve">Poor detection capability and ineffective security monitoring. </t>
    </r>
  </si>
  <si>
    <t>Undetected and uninvestigated security events leading to compromise of infrastructure. Loss, corruption or destruction of data.
Potential data breaches leading to fines from the ICO. Reputational damage as a result of negative publicity.</t>
  </si>
  <si>
    <t>Detection Capability
Security Monitoring</t>
  </si>
  <si>
    <t>ICS_16</t>
  </si>
  <si>
    <r>
      <rPr>
        <b/>
        <sz val="11"/>
        <color theme="1"/>
        <rFont val="Calibri"/>
        <family val="2"/>
        <scheme val="minor"/>
      </rPr>
      <t>Lack of incident response processes, procedures and technology.</t>
    </r>
    <r>
      <rPr>
        <sz val="11"/>
        <color theme="1" tint="0.24994659260841701"/>
        <rFont val="Calibri"/>
        <family val="2"/>
        <scheme val="minor"/>
      </rPr>
      <t xml:space="preserve">
Poorly defined incident management processes, insufficient documentation and testing of incident response, a lack of incident reporting procedures, inadequate staff training for incident response.</t>
    </r>
  </si>
  <si>
    <t>Inability to identify, treat and respond to cyber security incidents in an efficient manner, leading to loss of productivity and operational activity, reputational damage if service is lost for extended periods of time. Inability to quickly contain threats leading to further compromise of systems and data.
Potential data breaches leading to fines from the ICO. Reputational damage as a result of negative publicity.</t>
  </si>
  <si>
    <t>Incident Response Protocol
Incident Reporting Procedure
Staff Training &amp; Testing
Post-Incident Review &amp; Learning</t>
  </si>
  <si>
    <t>ICS_17</t>
  </si>
  <si>
    <r>
      <rPr>
        <b/>
        <sz val="11"/>
        <color theme="1"/>
        <rFont val="Calibri"/>
        <family val="2"/>
        <scheme val="minor"/>
      </rPr>
      <t xml:space="preserve">Lack of business continuity and disaster recovery procedures and processes. </t>
    </r>
    <r>
      <rPr>
        <sz val="11"/>
        <color theme="1" tint="0.24994659260841701"/>
        <rFont val="Calibri"/>
        <family val="2"/>
        <scheme val="minor"/>
      </rPr>
      <t xml:space="preserve">
Poor data recovery capability, a lack of testing of data recovery processes, insufficient backup policies and procedures, a lack of disaster recovery policies and procedures, and poor contingency mechanisms.</t>
    </r>
  </si>
  <si>
    <t xml:space="preserve">
Unknown length of disruption while business continuity is invoked and the services are brought up at alternative site. Some quality/delivery issues occurring regularly due to reduced system capacity until data centre restored. Increased cost due to potential equipment replacement. Negative publicity as a result of prolonged disruption and deterioration of service levels.</t>
  </si>
  <si>
    <t xml:space="preserve">Data Recovery Capability
Backup Policies &amp; Procedures
Disaster Recovery Policies &amp; Procedures
BC/DR Testing Policies &amp; Procedures
Data Protection Impact Assessments (DPIA)
BC Contingency Plan </t>
  </si>
  <si>
    <r>
      <t xml:space="preserve">                    </t>
    </r>
    <r>
      <rPr>
        <sz val="28"/>
        <color theme="2" tint="-0.499984740745262"/>
        <rFont val="Calibri"/>
        <family val="2"/>
        <scheme val="minor"/>
      </rPr>
      <t>ICS Risk Register: SLC</t>
    </r>
  </si>
  <si>
    <t xml:space="preserve"> Likelihood</t>
  </si>
  <si>
    <t xml:space="preserve"> Impact</t>
  </si>
  <si>
    <t xml:space="preserve"> Score</t>
  </si>
  <si>
    <t xml:space="preserve"> Inherent Risk Score</t>
  </si>
  <si>
    <t>Risk Severity Matrix</t>
  </si>
  <si>
    <t>Impact</t>
  </si>
  <si>
    <t>Minor</t>
  </si>
  <si>
    <t>Moderate</t>
  </si>
  <si>
    <t>Significant</t>
  </si>
  <si>
    <t>Critical</t>
  </si>
  <si>
    <t>Likelihood</t>
  </si>
  <si>
    <t>Expected</t>
  </si>
  <si>
    <t>Highly likely</t>
  </si>
  <si>
    <t>Likely</t>
  </si>
  <si>
    <t>Not likely</t>
  </si>
  <si>
    <t>Rare</t>
  </si>
  <si>
    <t>Rating</t>
  </si>
  <si>
    <t>Score</t>
  </si>
  <si>
    <t>Recommended Action (Guidance)</t>
  </si>
  <si>
    <t>20 -&gt; 25</t>
  </si>
  <si>
    <t>Normally an unacceptable risk (existential threat). Requires immediate action and escalations.  This cannot be left in its 'Inherent Risk' state.  It must be 'Treated' or 'Terminated'.  'Tolerate' is not an option and 'Transferring' the risk is likely to be outside of the institutions Risk Appetite.  Senior Management should be briefed accordingly.</t>
  </si>
  <si>
    <t>12 -&gt; 16</t>
  </si>
  <si>
    <t>Requires focused attention.  High priority and significant effort applied to reduce either the impact and/or likelihood of the Risk occuring.  'Tolerate' is an unlikely and unsuitable response.  Consider 'Termination' of the cause.</t>
  </si>
  <si>
    <t xml:space="preserve">High </t>
  </si>
  <si>
    <t>5 -&gt; 10</t>
  </si>
  <si>
    <t>Continue with the activity of applying control measures as appropriate.  Consistent and regularly monitoring by Risk Owner to ensure impact or likelihood does not increase.</t>
  </si>
  <si>
    <t>3 -&gt; 4</t>
  </si>
  <si>
    <t>Continue with the activity of applying contol measures as appropriate.  Review regularly to ensure control measures remain effective.</t>
  </si>
  <si>
    <t>1 -&gt; 2</t>
  </si>
  <si>
    <t>No need for specific control measures unless status (impact or likelihood) increases.  Review regularly to monitor status.</t>
  </si>
  <si>
    <t>The event is expected to have several/many occurences or chance of occurences is more than 75%.</t>
  </si>
  <si>
    <t>Financial Impact</t>
  </si>
  <si>
    <t>Greater than 10% of the institutions operating budget.</t>
  </si>
  <si>
    <t>The event is expected to have few occurences or chance of coccurences is between 50% and 75%.</t>
  </si>
  <si>
    <t>Between 5% and 10% of the institutions operating budget.</t>
  </si>
  <si>
    <t>Possible</t>
  </si>
  <si>
    <t>The event might occur at some time or chance of occurance is between 25% and 50%.</t>
  </si>
  <si>
    <t>Between 2.5% and 5% of the institutions operating budget.</t>
  </si>
  <si>
    <t>Unlikely</t>
  </si>
  <si>
    <t>The event has a small chance of occurance at some time or chance of occurance is between 10% and 25%.</t>
  </si>
  <si>
    <t>Between 1% and 1.5% of the institutions operating budget.</t>
  </si>
  <si>
    <t>The even may occur only under exceptional circumstances or chance of occurrence is below 10%</t>
  </si>
  <si>
    <t>Less than 1% of the institutions operating budget.</t>
  </si>
  <si>
    <t>Reputational Impact</t>
  </si>
  <si>
    <t>Significant long-term damage to strategically important interested parties (UK/SG Ministers, Public, Workforce)</t>
  </si>
  <si>
    <t>Severe short-term (less then 6 months) or moderate long-term (2-4 years) damage to strategically omprtant interested parties.</t>
  </si>
  <si>
    <t>Negative questions raised about the onstitution at senior levels e.g., national or local government level.  Negativ public perceptons of the institution (long-term - entrenched)</t>
  </si>
  <si>
    <t>Negative public perceptions of the institution in the short (6 months or less)</t>
  </si>
  <si>
    <t>Localised negative public perceptions of the institution on the short term (6 months or less)</t>
  </si>
  <si>
    <t>Operational Impact</t>
  </si>
  <si>
    <t>Critical constraints on the ability to deliver one or more of the institutionals operational tasks - cannot deliver any key operational objectives (e.g., inabilty to teach students)</t>
  </si>
  <si>
    <t>Significant constraints on the abilty to deliver one or more operational tasks (e.g., prolonged and intractible DDoS)</t>
  </si>
  <si>
    <t>Major constraint on the ability to deliver one or more operational tasks (isolated disruprion)</t>
  </si>
  <si>
    <t>Moderate constraints on the ability to deliver one or more operational tasks (increased frustration of staff and students)</t>
  </si>
  <si>
    <t>Minor constraints on the ability to deliver one or more operational tasks (sub optimal operatinal effectivness)</t>
  </si>
  <si>
    <t>Health and Safety Impact</t>
  </si>
  <si>
    <t>Multiple fatalities or multiple severe permanent disabilities.  Multiple incidents causing a major environmental impact.</t>
  </si>
  <si>
    <t>Single death or injuries to multiple individuals which are life threatening and/or have a short-term impact on normal way of/quality of life.  Single incident causing a major environmental impact.</t>
  </si>
  <si>
    <t>Single injury which causes permanent disability or permanent impact on way of life.  Single incident causing a significant environmental impact.</t>
  </si>
  <si>
    <t>Injuries to multiple individuals of a non-life threatening, non-permanent nature which require first aid only.  Multiple incidents causing minor environmental impact.</t>
  </si>
  <si>
    <t>Injury of a non-life threatening, non-permanent nature which requires first aid only.  Incident causing minor environmental impact.</t>
  </si>
  <si>
    <t>Compliance Impact</t>
  </si>
  <si>
    <t>Ability to perform business functions removed (e.g., credit card transactions, research data bids).  Threat of legal action if non compliant with legislation.</t>
  </si>
  <si>
    <t>Ability to exists within the HE/FE, public sector environment is significantly impacted due to inablity to establish trusted partnerships and third party relationships.</t>
  </si>
  <si>
    <t>Ability to compete within the HE/FE, public sector environment is reduced.</t>
  </si>
  <si>
    <t>Opportunities within the HE/FE and public sector will be reduced.</t>
  </si>
  <si>
    <t>Negligible impact on organisational business fuctions.</t>
  </si>
  <si>
    <r>
      <t xml:space="preserve">                      </t>
    </r>
    <r>
      <rPr>
        <sz val="28"/>
        <color rgb="FFFFC000"/>
        <rFont val="Arial"/>
        <family val="2"/>
      </rPr>
      <t>Likelihood and Impact Criteria</t>
    </r>
  </si>
  <si>
    <r>
      <t xml:space="preserve">                               </t>
    </r>
    <r>
      <rPr>
        <sz val="28"/>
        <color rgb="FFFFC000"/>
        <rFont val="Arial"/>
        <family val="2"/>
      </rPr>
      <t>Risk Severity</t>
    </r>
    <r>
      <rPr>
        <sz val="24"/>
        <color rgb="FFFFC000"/>
        <rFont val="Arial"/>
        <family val="2"/>
      </rPr>
      <t xml:space="preserve"> Matrix and Guidance</t>
    </r>
  </si>
  <si>
    <t>Residual (Current) 
Risk Score</t>
  </si>
  <si>
    <t>Yes, Chris Sumner Head of Management and Information Services, Board level updates</t>
  </si>
  <si>
    <t>DPO, InfoSec policies published on SharePoint Site</t>
  </si>
  <si>
    <t>No, ROPA still to be completed.</t>
  </si>
  <si>
    <t>DPO to complete ROPAs</t>
  </si>
  <si>
    <t>Held within policies</t>
  </si>
  <si>
    <t>Complete IAR</t>
  </si>
  <si>
    <t xml:space="preserve">New procurement polices </t>
  </si>
  <si>
    <t>InfoSec policies published on SharePoint Site</t>
  </si>
  <si>
    <t>Policies and procesdures SharePoint site</t>
  </si>
  <si>
    <t>Quarterly security review and InfoSec risk policy</t>
  </si>
  <si>
    <t>Yes, defined in policy and risk management process</t>
  </si>
  <si>
    <t>Sercurity review and Qualys scan</t>
  </si>
  <si>
    <t>Part of the security review and policy and change control</t>
  </si>
  <si>
    <t>Risk policy</t>
  </si>
  <si>
    <t>In the risk management policy</t>
  </si>
  <si>
    <t>Security risk schedule required</t>
  </si>
  <si>
    <t>create a risk schedule for IT</t>
  </si>
  <si>
    <t>CS</t>
  </si>
  <si>
    <t>check policies and process</t>
  </si>
  <si>
    <t>confirm a schedule of training</t>
  </si>
  <si>
    <t>Part of APUC procurement framework</t>
  </si>
  <si>
    <t>Data sharing agreements, DPIAs managed by DPO</t>
  </si>
  <si>
    <t>Defined by the supplier</t>
  </si>
  <si>
    <t>Defined by the supplier. Data Sharing agreements managed by the DPO</t>
  </si>
  <si>
    <t>M365 organisational tenancy</t>
  </si>
  <si>
    <t>No – add to IAR and BCP docs</t>
  </si>
  <si>
    <t>Complete IAR and BCP</t>
  </si>
  <si>
    <t>Asset Management policy in place</t>
  </si>
  <si>
    <t>Capture FM and IAR</t>
  </si>
  <si>
    <t>Change control process</t>
  </si>
  <si>
    <t>Define KPIs for board reporting</t>
  </si>
  <si>
    <t>retension policy to be completed</t>
  </si>
  <si>
    <t>Formalise the BCP flow diagram</t>
  </si>
  <si>
    <t>retention schedule policy</t>
  </si>
  <si>
    <t>Data sharing agreements, DPIAs managed by DPO. Frameworks.</t>
  </si>
  <si>
    <t>Data Sharing agreements managed by the DPOs</t>
  </si>
  <si>
    <t>Defined in InfoSec policies and procedures.</t>
  </si>
  <si>
    <t>BCP review</t>
  </si>
  <si>
    <t>F-Secure scans on mount</t>
  </si>
  <si>
    <t>Administrative policy prohibits</t>
  </si>
  <si>
    <t>GM</t>
  </si>
  <si>
    <t>GPO for BitLocker on removeable media</t>
  </si>
  <si>
    <t>Email encryption to be investigatged</t>
  </si>
  <si>
    <t>BitLocker and inTune monitoring</t>
  </si>
  <si>
    <t>Secure cabinets, dual JANET connections and lines.</t>
  </si>
  <si>
    <t>Write developer policy</t>
  </si>
  <si>
    <t>BCP project</t>
  </si>
  <si>
    <t>Pentest arranged</t>
  </si>
  <si>
    <t>HM</t>
  </si>
  <si>
    <t>Qualys, GitHub and webcheck.</t>
  </si>
  <si>
    <t>nmap as part of the security review</t>
  </si>
  <si>
    <t>JON</t>
  </si>
  <si>
    <t>Set up Qualys scheduled scanning, nmap and quarterly security reviews</t>
  </si>
  <si>
    <t>IT risk schedule</t>
  </si>
  <si>
    <t>Review SmoothWall results</t>
  </si>
  <si>
    <t>SmoothWall, M365 alerts</t>
  </si>
  <si>
    <t>review M365 audit logs</t>
  </si>
  <si>
    <t>Quarterly security review and InfoSec policy</t>
  </si>
  <si>
    <t>review f-secure policies</t>
  </si>
  <si>
    <t>Technical policies in place</t>
  </si>
  <si>
    <t>CE+ requirements</t>
  </si>
  <si>
    <t>Not applicable – NSCS does not make the P-DNS service available to education. JANET DNS used</t>
  </si>
  <si>
    <t>M365 settings review</t>
  </si>
  <si>
    <t>F-secure alerts, policy and process and procedures for incident response.</t>
  </si>
  <si>
    <t>Policy and process and procedures for incident response.</t>
  </si>
  <si>
    <t>f-secure alerting</t>
  </si>
  <si>
    <t>f-secure alerting, windows firewall with logging</t>
  </si>
  <si>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</si>
  <si>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Incident response policy, process, playbooks</t>
  </si>
  <si>
    <t>Incident response training, TTX and staff development training</t>
  </si>
  <si>
    <t>Incident response policy, process, playbooks. Recorded on Teams.</t>
  </si>
  <si>
    <t>Promoted via SharePoint</t>
  </si>
  <si>
    <t>Rechecked</t>
  </si>
  <si>
    <t>Informed and understand</t>
  </si>
  <si>
    <t>Additional training</t>
  </si>
  <si>
    <t xml:space="preserve">Lessons-learned reviews are conducted: actions taken during an incident are logged and reviewed to evaluate the performance of the incident management process. </t>
  </si>
  <si>
    <t>Incident response policy, process, playbooks. Recorded on Teams. Cyber risk working group would also meet.</t>
  </si>
  <si>
    <t>Role based access controls, physicaly secured location.</t>
  </si>
  <si>
    <t xml:space="preserve"> DPIA procedures, screening processes, templates.  </t>
  </si>
  <si>
    <t xml:space="preserve"> Review scheduled annually or when there is a change</t>
  </si>
  <si>
    <t>Key roles are duplicated and operational delivery knowledge is shared with all individuals involved in the operations and recovery of the essential service.</t>
  </si>
  <si>
    <t>Step</t>
  </si>
  <si>
    <t>Main Sheet Title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</si>
  <si>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</si>
  <si>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</si>
  <si>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</si>
  <si>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</si>
  <si>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</si>
  <si>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</si>
  <si>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</si>
  <si>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</si>
  <si>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</si>
  <si>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</si>
  <si>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</si>
  <si>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</si>
  <si>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</si>
  <si>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</si>
  <si>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</si>
  <si>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</si>
  <si>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</si>
  <si>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</si>
  <si>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</si>
  <si>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</si>
  <si>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</si>
  <si>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</si>
  <si>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</si>
  <si>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</si>
  <si>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</si>
  <si>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</si>
  <si>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</si>
  <si>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</si>
  <si>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</si>
  <si>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</si>
  <si>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</si>
  <si>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</si>
  <si>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</si>
  <si>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</si>
  <si>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</si>
  <si>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</si>
  <si>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</si>
  <si>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</si>
  <si>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</si>
  <si>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</si>
  <si>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</si>
  <si>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</si>
  <si>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</si>
  <si>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</si>
  <si>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</si>
  <si>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</si>
  <si>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</si>
  <si>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</si>
  <si>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</si>
  <si>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</si>
  <si>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</si>
  <si>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</si>
  <si>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</si>
  <si>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</si>
  <si>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</si>
  <si>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</si>
  <si>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</si>
  <si>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</si>
  <si>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</si>
  <si>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</si>
  <si>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</si>
  <si>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</si>
  <si>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</si>
  <si>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</si>
  <si>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</si>
  <si>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</si>
  <si>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Training on secure design for all IT staff</t>
  </si>
  <si>
    <t>Server admins</t>
  </si>
  <si>
    <t>Adjusted up from 1 to 2 in probablitiy in Oct 2024 due to logging required at ubuntu servers, the action above covers this issue</t>
  </si>
  <si>
    <t xml:space="preserve"> - </t>
  </si>
  <si>
    <t>review password length as 8 is too short
We have switched on MFA for ssh access, VPN, Firewall access</t>
  </si>
  <si>
    <t>We have moved all aplications to use a framework like Laravel so data sanetisation and avoidance of using direct user input in code is done automatically.
Error handling is now part of the laravel platforms for in house systems.</t>
  </si>
  <si>
    <t>The move to the laravel platform has removed the old code and currently shutting down old systems and legacy DNS connections</t>
  </si>
  <si>
    <t>Password policy is inline with the Cyber essentials accreditation and confirmed in the last review</t>
  </si>
  <si>
    <t xml:space="preserve"> We have reviewed all firewall rules internal to each server and for the main Firewall
We have moved all application to frameworks that sanetize the data  automatically for any internally developed system</t>
  </si>
  <si>
    <t>Backup systems have been renewed and checked for the effectiveness of restores in recent audit testing. All successful</t>
  </si>
  <si>
    <t>Recent security reviews have been conducted and secruity configurations remain intact.</t>
  </si>
  <si>
    <t xml:space="preserve"> - install and configure Graylog
- Logging in IT needs reviewed following the install of unit-e, completion of this is likely to be the end of the 25-26 academic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</si>
</sst>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0.0\ "/>
    <numFmt numFmtId="166" formatCode="[$-F800]dddd\,\ mmmm\ dd\,\ yyyy"/>
    <numFmt numFmtId="167" formatCode="dd/mm/yyyy;@"/>
  </numFmts>
  <fonts count="69"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sz val="11"/>
      <color theme="1" tint="0.24994659260841701"/>
      <name val="Calibri"/>
      <family val="2"/>
      <scheme val="minor"/>
    </font>
    <font>
      <b/>
      <sz val="11"/>
      <name val="Calibri"/>
      <family val="2"/>
      <scheme val="minor"/>
    </font>
    <font>
      <sz val="11"/>
      <name val="Calibri"/>
      <family val="2"/>
      <scheme val="minor"/>
    </font>
    <font>
      <sz val="11"/>
      <color theme="4" tint="0.79998168889431442"/>
      <name val="Calibri"/>
      <family val="2"/>
      <scheme val="minor"/>
    </font>
    <font>
      <sz val="11"/>
      <color theme="4" tint="-0.249977111117893"/>
      <name val="Calibri"/>
      <family val="2"/>
      <scheme val="minor"/>
    </font>
    <font>
      <b/>
      <sz val="11"/>
      <color theme="4" tint="-0.249977111117893"/>
      <name val="Calibri"/>
      <family val="2"/>
      <scheme val="minor"/>
    </font>
    <font>
      <b/>
      <sz val="11"/>
      <color theme="7"/>
      <name val="Calibri"/>
      <family val="2"/>
      <scheme val="minor"/>
    </font>
    <font>
      <sz val="11"/>
      <color rgb="FF000000"/>
      <name val="Calibri"/>
      <family val="2"/>
      <scheme val="minor"/>
    </font>
    <font>
      <sz val="11"/>
      <color theme="0"/>
      <name val="Century Schoolbook"/>
      <family val="2"/>
      <scheme val="major"/>
    </font>
    <font>
      <b/>
      <sz val="14"/>
      <color theme="1"/>
      <name val="Arial"/>
      <family val="2"/>
    </font>
    <font>
      <sz val="11"/>
      <name val="Century Schoolbook"/>
      <family val="2"/>
      <scheme val="major"/>
    </font>
    <font>
      <sz val="11"/>
      <color theme="1"/>
      <name val="Arial"/>
      <family val="2"/>
    </font>
    <font>
      <b/>
      <sz val="24"/>
      <color rgb="FFBF8F00"/>
      <name val="Calibri"/>
      <family val="2"/>
      <scheme val="minor"/>
    </font>
    <font>
      <b/>
      <sz val="18"/>
      <color theme="8" tint="-0.249977111117893"/>
      <name val="Calibri"/>
      <family val="2"/>
      <scheme val="minor"/>
    </font>
    <font>
      <sz val="20"/>
      <name val="Calibri"/>
      <family val="2"/>
      <scheme val="minor"/>
    </font>
    <font>
      <sz val="20"/>
      <color theme="1"/>
      <name val="Calibri"/>
      <family val="2"/>
      <scheme val="minor"/>
    </font>
    <font>
      <sz val="11"/>
      <color theme="2"/>
      <name val="Century Schoolbook"/>
      <family val="2"/>
      <scheme val="major"/>
    </font>
    <font>
      <b/>
      <sz val="11"/>
      <color theme="2"/>
      <name val="Calibri"/>
      <family val="2"/>
      <scheme val="minor"/>
    </font>
    <font>
      <sz val="11"/>
      <color theme="2"/>
      <name val="Calibri"/>
      <family val="2"/>
      <scheme val="minor"/>
    </font>
    <font>
      <b/>
      <sz val="22"/>
      <color theme="6"/>
      <name val="Calibri"/>
      <family val="2"/>
      <scheme val="minor"/>
    </font>
    <font>
      <sz val="11"/>
      <color theme="6"/>
      <name val="Century Schoolbook"/>
      <family val="2"/>
      <scheme val="major"/>
    </font>
    <font>
      <sz val="11"/>
      <color theme="1"/>
      <name val="Calibri"/>
      <family val="2"/>
    </font>
    <font>
      <b/>
      <sz val="20"/>
      <color theme="8" tint="-0.249977111117893"/>
      <name val="Tw Cen MT"/>
      <family val="2"/>
    </font>
    <font>
      <b/>
      <sz val="14"/>
      <color theme="8" tint="-0.249977111117893"/>
      <name val="Tw Cen MT"/>
      <family val="2"/>
    </font>
    <font>
      <sz val="11"/>
      <color theme="0"/>
      <name val="Tw Cen MT"/>
      <family val="2"/>
    </font>
    <font>
      <sz val="11"/>
      <color theme="1" tint="0.24994659260841701"/>
      <name val="Tw Cen MT"/>
      <family val="2"/>
    </font>
    <font>
      <b/>
      <sz val="24"/>
      <color theme="2" tint="-0.499984740745262"/>
      <name val="Calibri"/>
      <family val="2"/>
      <scheme val="minor"/>
    </font>
    <font>
      <b/>
      <sz val="11"/>
      <color rgb="FFFFC000"/>
      <name val="Calibri"/>
      <family val="2"/>
      <scheme val="minor"/>
    </font>
    <font>
      <sz val="22"/>
      <color theme="2" tint="-0.499984740745262"/>
      <name val="Calibri"/>
      <family val="2"/>
      <scheme val="minor"/>
    </font>
    <font>
      <sz val="12"/>
      <color theme="1" tint="0.24994659260841701"/>
      <name val="Calibri"/>
      <family val="2"/>
    </font>
    <font>
      <b/>
      <sz val="11"/>
      <color theme="1"/>
      <name val="Calibri"/>
      <family val="2"/>
      <scheme val="minor"/>
    </font>
    <font>
      <sz val="11"/>
      <color theme="0"/>
      <name val="Calibri"/>
      <family val="2"/>
      <scheme val="minor"/>
    </font>
    <font>
      <b/>
      <u/>
      <sz val="11"/>
      <color theme="1"/>
      <name val="Calibri"/>
      <family val="2"/>
      <scheme val="minor"/>
    </font>
    <font>
      <sz val="28"/>
      <color theme="7" tint="-0.249977111117893"/>
      <name val="Calibri"/>
      <family val="2"/>
      <scheme val="minor"/>
    </font>
    <font>
      <sz val="28"/>
      <color theme="2" tint="-0.499984740745262"/>
      <name val="Calibri"/>
      <family val="2"/>
      <scheme val="minor"/>
    </font>
    <font>
      <sz val="10"/>
      <name val="Arial"/>
      <family val="2"/>
    </font>
    <font>
      <sz val="11"/>
      <color rgb="FF000D26"/>
      <name val="Calibri"/>
      <family val="2"/>
      <scheme val="minor"/>
    </font>
    <font>
      <sz val="24"/>
      <color theme="7" tint="-0.249977111117893"/>
      <name val="Arial"/>
      <family val="2"/>
    </font>
    <font>
      <sz val="28"/>
      <color theme="7" tint="-0.249977111117893"/>
      <name val="Arial"/>
      <family val="2"/>
    </font>
    <font>
      <b/>
      <sz val="12"/>
      <color rgb="FF000000"/>
      <name val="Calibri"/>
      <family val="2"/>
      <scheme val="minor"/>
    </font>
    <font>
      <b/>
      <sz val="11"/>
      <color rgb="FF000000"/>
      <name val="Calibri"/>
      <family val="2"/>
      <scheme val="minor"/>
    </font>
    <font>
      <sz val="10"/>
      <color theme="1"/>
      <name val="Calibri"/>
      <family val="2"/>
      <scheme val="minor"/>
    </font>
    <font>
      <sz val="28"/>
      <color rgb="FFFFC000"/>
      <name val="Arial"/>
      <family val="2"/>
    </font>
    <font>
      <sz val="24"/>
      <color rgb="FFFFC00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rgb="FF000000"/>
      <name val="Arial"/>
      <family val="2"/>
    </font>
  </fonts>
  <fills count="5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6D9F0"/>
        <bgColor rgb="FFC6D9F0"/>
      </patternFill>
    </fill>
    <fill>
      <patternFill patternType="solid">
        <fgColor rgb="FFFFFFFF"/>
        <bgColor rgb="FFFFFFFF"/>
      </patternFill>
    </fill>
    <fill>
      <patternFill patternType="solid">
        <fgColor rgb="FFFF99CC"/>
        <bgColor indexed="64"/>
      </patternFill>
    </fill>
    <fill>
      <patternFill patternType="solid">
        <fgColor theme="9" tint="0.39997558519241921"/>
        <bgColor rgb="FFFFFFFF"/>
      </patternFill>
    </fill>
    <fill>
      <patternFill patternType="solid">
        <fgColor theme="3" tint="-0.499984740745262"/>
        <bgColor indexed="64"/>
      </patternFill>
    </fill>
    <fill>
      <patternFill patternType="solid">
        <fgColor theme="0"/>
        <bgColor indexed="64"/>
      </patternFill>
    </fill>
    <fill>
      <patternFill patternType="solid">
        <fgColor theme="9" tint="0.79998168889431442"/>
        <bgColor rgb="FFC6D9F0"/>
      </patternFill>
    </fill>
    <fill>
      <patternFill patternType="solid">
        <fgColor theme="9" tint="0.79998168889431442"/>
        <bgColor indexed="64"/>
      </patternFill>
    </fill>
    <fill>
      <patternFill patternType="solid">
        <fgColor theme="5" tint="0.59999389629810485"/>
        <bgColor rgb="FFC6D9F0"/>
      </patternFill>
    </fill>
    <fill>
      <patternFill patternType="solid">
        <fgColor rgb="FF000D26"/>
        <bgColor indexed="64"/>
      </patternFill>
    </fill>
    <fill>
      <patternFill patternType="solid">
        <fgColor rgb="FFFFFFFF"/>
        <bgColor indexed="64"/>
      </patternFill>
    </fill>
    <fill>
      <patternFill patternType="solid">
        <fgColor theme="0"/>
        <bgColor rgb="FFC6D9F0"/>
      </patternFill>
    </fill>
    <fill>
      <patternFill patternType="solid">
        <fgColor rgb="FF00B0F0"/>
        <bgColor rgb="FFC6D9F0"/>
      </patternFill>
    </fill>
    <fill>
      <patternFill patternType="solid">
        <fgColor rgb="FFC6D9F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rgb="FFC6D9F0"/>
      </patternFill>
    </fill>
    <fill>
      <patternFill patternType="solid">
        <fgColor theme="0" tint="-0.14999847407452621"/>
        <bgColor indexed="64"/>
      </patternFill>
    </fill>
    <fill>
      <patternFill patternType="solid">
        <fgColor theme="5" tint="0.39997558519241921"/>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34998626667073579"/>
        <bgColor indexed="64"/>
      </patternFill>
    </fill>
    <fill>
      <patternFill patternType="solid">
        <fgColor theme="2"/>
        <bgColor indexed="64"/>
      </patternFill>
    </fill>
    <fill>
      <patternFill patternType="solid">
        <fgColor rgb="FFFFC000"/>
        <bgColor indexed="64"/>
      </patternFill>
    </fill>
    <fill>
      <patternFill patternType="solid">
        <fgColor theme="3" tint="0.749992370372631"/>
        <bgColor indexed="64"/>
      </patternFill>
    </fill>
    <fill>
      <patternFill patternType="solid">
        <fgColor rgb="FF55BBE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5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8" fillId="0" borderId="0" applyNumberFormat="0" applyFill="0" applyBorder="0" applyAlignment="0" applyProtection="0"/>
    <xf numFmtId="0" fontId="6"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5" fillId="0" borderId="0" applyNumberFormat="0" applyFill="0" applyBorder="0" applyProtection="0">
      <alignment horizontal="left" vertical="center"/>
    </xf>
    <xf numFmtId="9" fontId="7"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0" fontId="14" fillId="0" borderId="0"/>
    <xf numFmtId="0" fontId="2" fillId="0" borderId="0"/>
    <xf numFmtId="0" fontId="50" fillId="0" borderId="0"/>
    <xf numFmtId="0" fontId="1" fillId="0" borderId="0"/>
  </cellStyleXfs>
  <cellXfs count="472">
    <xf numFmtId="0" fontId="0" fillId="0" borderId="0" xfId="0">
      <alignment horizontal="center" vertical="center"/>
    </xf>
    <xf numFmtId="0" fontId="15" fillId="0" borderId="0" xfId="0" applyFont="1">
      <alignment horizontal="center" vertical="center"/>
    </xf>
    <xf numFmtId="0" fontId="15" fillId="0" borderId="0" xfId="0" applyFont="1" applyAlignment="1">
      <alignment horizontal="center" vertical="top"/>
    </xf>
    <xf numFmtId="0" fontId="15" fillId="18" borderId="0" xfId="0" applyFont="1" applyFill="1" applyBorder="1" applyAlignment="1">
      <alignment horizontal="center" vertical="top"/>
    </xf>
    <xf numFmtId="0" fontId="9" fillId="6" borderId="6" xfId="7" applyBorder="1" applyAlignment="1">
      <alignment horizontal="center" vertical="top" wrapText="1"/>
    </xf>
    <xf numFmtId="0" fontId="15" fillId="0" borderId="6" xfId="0" applyFont="1" applyBorder="1" applyAlignment="1">
      <alignment horizontal="center" vertical="top"/>
    </xf>
    <xf numFmtId="0" fontId="15" fillId="2" borderId="6" xfId="14" applyFont="1" applyBorder="1" applyAlignment="1">
      <alignment horizontal="center" vertical="top"/>
    </xf>
    <xf numFmtId="0" fontId="15" fillId="3" borderId="6" xfId="15" applyFont="1" applyBorder="1" applyAlignment="1">
      <alignment horizontal="center" vertical="top"/>
    </xf>
    <xf numFmtId="0" fontId="15" fillId="4" borderId="6" xfId="16" applyFont="1" applyBorder="1" applyAlignment="1">
      <alignment horizontal="center" vertical="top"/>
    </xf>
    <xf numFmtId="0" fontId="15" fillId="5" borderId="6" xfId="17" applyFont="1" applyBorder="1" applyAlignment="1">
      <alignment horizontal="center" vertical="top"/>
    </xf>
    <xf numFmtId="0" fontId="15" fillId="7" borderId="6" xfId="18" applyFont="1" applyBorder="1" applyAlignment="1">
      <alignment horizontal="center" vertical="top"/>
    </xf>
    <xf numFmtId="0" fontId="9" fillId="18" borderId="0" xfId="0" applyFont="1" applyFill="1" applyBorder="1" applyAlignment="1">
      <alignment horizontal="center" vertical="top" wrapText="1"/>
    </xf>
    <xf numFmtId="1" fontId="9" fillId="0" borderId="13" xfId="0" applyNumberFormat="1" applyFont="1" applyBorder="1" applyAlignment="1">
      <alignment horizontal="center" vertical="top" wrapText="1"/>
    </xf>
    <xf numFmtId="1" fontId="9" fillId="0" borderId="14" xfId="0" applyNumberFormat="1" applyFont="1" applyBorder="1" applyAlignment="1">
      <alignment horizontal="center" vertical="top" wrapText="1"/>
    </xf>
    <xf numFmtId="1" fontId="9" fillId="0" borderId="15" xfId="0" applyNumberFormat="1" applyFont="1" applyBorder="1" applyAlignment="1">
      <alignment horizontal="center" vertical="top" wrapText="1"/>
    </xf>
    <xf numFmtId="0" fontId="9" fillId="0" borderId="0" xfId="0" applyFont="1" applyAlignment="1">
      <alignment horizontal="center" vertical="top" wrapText="1"/>
    </xf>
    <xf numFmtId="3" fontId="10" fillId="0" borderId="15" xfId="3" applyBorder="1" applyAlignment="1">
      <alignment horizontal="center" vertical="top"/>
    </xf>
    <xf numFmtId="3" fontId="10" fillId="0" borderId="5" xfId="3" applyBorder="1" applyAlignment="1">
      <alignment horizontal="center" vertical="top"/>
    </xf>
    <xf numFmtId="3" fontId="10" fillId="0" borderId="18" xfId="3" applyBorder="1" applyAlignment="1">
      <alignment horizontal="center" vertical="top"/>
    </xf>
    <xf numFmtId="0" fontId="15" fillId="0" borderId="0" xfId="0" applyFont="1" applyBorder="1" applyAlignment="1">
      <alignment horizontal="center" vertical="top"/>
    </xf>
    <xf numFmtId="0" fontId="15" fillId="0" borderId="22" xfId="0" applyFont="1" applyBorder="1" applyAlignment="1">
      <alignment horizontal="center" vertical="top"/>
    </xf>
    <xf numFmtId="0" fontId="17" fillId="0" borderId="5" xfId="19" applyFont="1" applyBorder="1" applyAlignment="1">
      <alignment horizontal="center" vertical="center" wrapText="1"/>
    </xf>
    <xf numFmtId="164" fontId="17" fillId="14" borderId="5" xfId="19" applyNumberFormat="1" applyFont="1" applyFill="1" applyBorder="1" applyAlignment="1">
      <alignment horizontal="center" vertical="center" wrapText="1"/>
    </xf>
    <xf numFmtId="0" fontId="17" fillId="14" borderId="5" xfId="19" applyFont="1" applyFill="1" applyBorder="1" applyAlignment="1">
      <alignment horizontal="center" vertical="center" wrapText="1"/>
    </xf>
    <xf numFmtId="0" fontId="18" fillId="18" borderId="0" xfId="0" applyFont="1" applyFill="1" applyBorder="1" applyAlignment="1">
      <alignment horizontal="center" vertical="top"/>
    </xf>
    <xf numFmtId="0" fontId="17" fillId="9" borderId="5" xfId="19" applyFont="1" applyFill="1" applyBorder="1" applyAlignment="1">
      <alignment horizontal="center" vertical="center" wrapText="1"/>
    </xf>
    <xf numFmtId="0" fontId="15" fillId="16" borderId="0" xfId="0" applyFont="1" applyFill="1" applyBorder="1" applyAlignment="1">
      <alignment horizontal="center" vertical="top"/>
    </xf>
    <xf numFmtId="0" fontId="15" fillId="16" borderId="22" xfId="0" applyFont="1" applyFill="1" applyBorder="1" applyAlignment="1">
      <alignment horizontal="center" vertical="top"/>
    </xf>
    <xf numFmtId="0" fontId="17" fillId="15" borderId="5" xfId="19" applyFont="1" applyFill="1" applyBorder="1" applyAlignment="1">
      <alignment horizontal="center" vertical="center" wrapText="1"/>
    </xf>
    <xf numFmtId="0" fontId="17" fillId="17" borderId="5" xfId="19" applyFont="1" applyFill="1" applyBorder="1" applyAlignment="1">
      <alignment horizontal="center" vertical="center" wrapText="1"/>
    </xf>
    <xf numFmtId="164" fontId="17" fillId="14" borderId="5" xfId="19" applyNumberFormat="1" applyFont="1" applyFill="1" applyBorder="1" applyAlignment="1">
      <alignment horizontal="center" vertical="center"/>
    </xf>
    <xf numFmtId="0" fontId="17" fillId="14" borderId="5" xfId="19" applyFont="1" applyFill="1" applyBorder="1" applyAlignment="1">
      <alignment horizontal="center" vertical="center"/>
    </xf>
    <xf numFmtId="0" fontId="15" fillId="0" borderId="0" xfId="0" applyFont="1" applyBorder="1">
      <alignment horizontal="center" vertical="center"/>
    </xf>
    <xf numFmtId="0" fontId="15" fillId="0" borderId="0" xfId="0" applyFont="1" applyBorder="1" applyAlignment="1">
      <alignment horizontal="center" vertical="center" wrapText="1"/>
    </xf>
    <xf numFmtId="164" fontId="15" fillId="0" borderId="0" xfId="0" applyNumberFormat="1" applyFont="1" applyBorder="1">
      <alignment horizontal="center" vertical="center"/>
    </xf>
    <xf numFmtId="1" fontId="15" fillId="6" borderId="21" xfId="13" applyFont="1" applyBorder="1" applyAlignment="1">
      <alignment horizontal="center" vertical="top"/>
    </xf>
    <xf numFmtId="0" fontId="17" fillId="12" borderId="8" xfId="19" applyFont="1" applyFill="1" applyBorder="1" applyAlignment="1">
      <alignment horizontal="center" vertical="center" wrapText="1"/>
    </xf>
    <xf numFmtId="0" fontId="19" fillId="12" borderId="5" xfId="0" applyNumberFormat="1" applyFont="1" applyFill="1" applyBorder="1" applyAlignment="1">
      <alignment horizontal="center" vertical="top"/>
    </xf>
    <xf numFmtId="0" fontId="19" fillId="12" borderId="5" xfId="0" applyFont="1" applyFill="1" applyBorder="1" applyAlignment="1">
      <alignment horizontal="center" vertical="top"/>
    </xf>
    <xf numFmtId="9" fontId="20" fillId="12" borderId="5" xfId="6" applyFont="1" applyFill="1" applyBorder="1" applyAlignment="1">
      <alignment horizontal="center" vertical="top"/>
    </xf>
    <xf numFmtId="0" fontId="17" fillId="0" borderId="8" xfId="19" applyFont="1" applyBorder="1" applyAlignment="1">
      <alignment horizontal="center" vertical="center" wrapText="1"/>
    </xf>
    <xf numFmtId="0" fontId="15" fillId="8" borderId="5" xfId="0" applyFont="1" applyFill="1" applyBorder="1" applyAlignment="1">
      <alignment horizontal="center" vertical="top"/>
    </xf>
    <xf numFmtId="9" fontId="21" fillId="8" borderId="5" xfId="6" applyFont="1" applyFill="1" applyBorder="1" applyAlignment="1">
      <alignment horizontal="center" vertical="top"/>
    </xf>
    <xf numFmtId="0" fontId="17" fillId="9" borderId="8" xfId="19" applyFont="1" applyFill="1" applyBorder="1" applyAlignment="1">
      <alignment horizontal="center" vertical="center" wrapText="1"/>
    </xf>
    <xf numFmtId="0" fontId="22" fillId="0" borderId="5" xfId="19" applyFont="1" applyBorder="1" applyAlignment="1">
      <alignment horizontal="center" vertical="center" wrapText="1"/>
    </xf>
    <xf numFmtId="9" fontId="21" fillId="0" borderId="0" xfId="6" applyFont="1" applyBorder="1" applyAlignment="1">
      <alignment horizontal="center" vertical="top"/>
    </xf>
    <xf numFmtId="0" fontId="9" fillId="12" borderId="1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7" fillId="14" borderId="12" xfId="19" applyFont="1" applyFill="1" applyBorder="1" applyAlignment="1">
      <alignment horizontal="center" vertical="center"/>
    </xf>
    <xf numFmtId="0" fontId="17" fillId="14" borderId="23" xfId="19" applyFont="1" applyFill="1" applyBorder="1" applyAlignment="1">
      <alignment horizontal="center" vertical="center"/>
    </xf>
    <xf numFmtId="0" fontId="15" fillId="0" borderId="0" xfId="0" applyFont="1" applyAlignment="1">
      <alignment horizontal="center" vertical="center" wrapText="1"/>
    </xf>
    <xf numFmtId="164" fontId="23" fillId="0" borderId="0" xfId="0" applyNumberFormat="1" applyFont="1">
      <alignment horizontal="center" vertical="center"/>
    </xf>
    <xf numFmtId="0" fontId="23" fillId="0" borderId="0" xfId="0" applyFont="1">
      <alignment horizontal="center" vertical="center"/>
    </xf>
    <xf numFmtId="0" fontId="25" fillId="0" borderId="0" xfId="0" applyFont="1">
      <alignment horizontal="center" vertical="center"/>
    </xf>
    <xf numFmtId="0" fontId="24" fillId="22" borderId="11" xfId="19" applyFont="1" applyFill="1" applyBorder="1" applyAlignment="1">
      <alignment vertical="center"/>
    </xf>
    <xf numFmtId="0" fontId="24" fillId="22" borderId="12" xfId="19" applyFont="1" applyFill="1" applyBorder="1" applyAlignment="1">
      <alignment vertical="center"/>
    </xf>
    <xf numFmtId="0" fontId="17" fillId="9" borderId="17" xfId="19" applyFont="1" applyFill="1" applyBorder="1" applyAlignment="1">
      <alignment horizontal="center" vertical="center" wrapText="1"/>
    </xf>
    <xf numFmtId="164" fontId="17" fillId="14" borderId="26" xfId="19" applyNumberFormat="1" applyFont="1" applyFill="1" applyBorder="1" applyAlignment="1">
      <alignment horizontal="center" vertical="center"/>
    </xf>
    <xf numFmtId="164" fontId="17" fillId="14" borderId="27" xfId="19" applyNumberFormat="1" applyFont="1" applyFill="1" applyBorder="1" applyAlignment="1">
      <alignment horizontal="center" vertical="center"/>
    </xf>
    <xf numFmtId="164" fontId="17" fillId="14" borderId="28" xfId="19" applyNumberFormat="1" applyFont="1" applyFill="1" applyBorder="1" applyAlignment="1">
      <alignment horizontal="center"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2" fillId="0" borderId="0" xfId="12" applyBorder="1" applyAlignment="1">
      <alignment horizontal="center" vertical="center" wrapText="1"/>
    </xf>
    <xf numFmtId="0" fontId="9" fillId="6" borderId="6" xfId="7" applyBorder="1" applyAlignment="1">
      <alignment horizontal="center" vertical="center" wrapText="1"/>
    </xf>
    <xf numFmtId="0" fontId="9" fillId="18" borderId="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49" fontId="4" fillId="0" borderId="5" xfId="0" applyNumberFormat="1" applyFont="1" applyBorder="1" applyAlignment="1">
      <alignment horizontal="center" vertical="center" wrapText="1"/>
    </xf>
    <xf numFmtId="49" fontId="22" fillId="24"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15" fillId="18" borderId="0" xfId="0" applyFont="1" applyFill="1" applyBorder="1" applyAlignment="1">
      <alignment horizontal="center" vertical="center" wrapText="1"/>
    </xf>
    <xf numFmtId="1" fontId="15" fillId="6" borderId="21" xfId="13" applyFont="1" applyBorder="1" applyAlignment="1">
      <alignment horizontal="center" vertical="center" wrapText="1"/>
    </xf>
    <xf numFmtId="0" fontId="15" fillId="0" borderId="6" xfId="0" applyFont="1" applyBorder="1" applyAlignment="1">
      <alignment horizontal="center" vertical="center" wrapText="1"/>
    </xf>
    <xf numFmtId="0" fontId="15" fillId="2" borderId="6" xfId="14" applyFont="1" applyBorder="1" applyAlignment="1">
      <alignment horizontal="center" vertical="center" wrapText="1"/>
    </xf>
    <xf numFmtId="0" fontId="15" fillId="0" borderId="6" xfId="5" applyFont="1" applyBorder="1" applyAlignment="1">
      <alignment horizontal="center" vertical="center" wrapText="1"/>
    </xf>
    <xf numFmtId="0" fontId="15" fillId="3" borderId="6" xfId="15" applyFont="1" applyBorder="1" applyAlignment="1">
      <alignment horizontal="center" vertical="center" wrapText="1"/>
    </xf>
    <xf numFmtId="0" fontId="15" fillId="4" borderId="6" xfId="16" applyFont="1" applyBorder="1" applyAlignment="1">
      <alignment horizontal="center" vertical="center" wrapText="1"/>
    </xf>
    <xf numFmtId="0" fontId="15" fillId="5" borderId="6" xfId="17" applyFont="1" applyBorder="1" applyAlignment="1">
      <alignment horizontal="center" vertical="center" wrapText="1"/>
    </xf>
    <xf numFmtId="0" fontId="15" fillId="7" borderId="6" xfId="18" applyFont="1" applyBorder="1" applyAlignment="1">
      <alignment horizontal="center" vertical="center" wrapText="1"/>
    </xf>
    <xf numFmtId="0" fontId="15" fillId="0" borderId="24"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5" xfId="5" applyFont="1" applyBorder="1" applyAlignment="1">
      <alignment horizontal="center" vertical="center" wrapText="1"/>
    </xf>
    <xf numFmtId="3" fontId="10" fillId="0" borderId="15" xfId="3" applyBorder="1" applyAlignment="1">
      <alignment horizontal="center" vertical="center" wrapText="1"/>
    </xf>
    <xf numFmtId="3" fontId="10" fillId="0" borderId="5" xfId="3" applyBorder="1" applyAlignment="1">
      <alignment horizontal="center" vertical="center" wrapText="1"/>
    </xf>
    <xf numFmtId="3" fontId="10" fillId="0" borderId="18" xfId="3" applyBorder="1" applyAlignment="1">
      <alignment horizontal="center" vertical="center" wrapText="1"/>
    </xf>
    <xf numFmtId="0" fontId="19" fillId="12" borderId="5" xfId="0" applyNumberFormat="1" applyFont="1" applyFill="1" applyBorder="1" applyAlignment="1">
      <alignment horizontal="center" vertical="center" wrapText="1"/>
    </xf>
    <xf numFmtId="0" fontId="19" fillId="12" borderId="5" xfId="0" applyFont="1" applyFill="1" applyBorder="1" applyAlignment="1">
      <alignment horizontal="center" vertical="center" wrapText="1"/>
    </xf>
    <xf numFmtId="9" fontId="20" fillId="12" borderId="5" xfId="6" applyFont="1" applyFill="1" applyBorder="1" applyAlignment="1">
      <alignment horizontal="center" vertical="center" wrapText="1"/>
    </xf>
    <xf numFmtId="0" fontId="15" fillId="0" borderId="22" xfId="0" applyFont="1" applyBorder="1" applyAlignment="1">
      <alignment horizontal="center" vertical="center" wrapText="1"/>
    </xf>
    <xf numFmtId="0" fontId="15" fillId="8" borderId="5" xfId="0" applyFont="1" applyFill="1" applyBorder="1" applyAlignment="1">
      <alignment horizontal="center" vertical="center" wrapText="1"/>
    </xf>
    <xf numFmtId="9" fontId="21" fillId="8" borderId="5" xfId="6"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1" borderId="5" xfId="0" applyNumberFormat="1" applyFont="1" applyFill="1" applyBorder="1" applyAlignment="1">
      <alignment horizontal="center" vertical="center" wrapText="1"/>
    </xf>
    <xf numFmtId="0" fontId="18" fillId="11" borderId="13" xfId="0" applyNumberFormat="1" applyFont="1" applyFill="1" applyBorder="1" applyAlignment="1">
      <alignment horizontal="center" vertical="center" wrapText="1"/>
    </xf>
    <xf numFmtId="0" fontId="18" fillId="11" borderId="14" xfId="0" applyNumberFormat="1" applyFont="1" applyFill="1" applyBorder="1" applyAlignment="1">
      <alignment horizontal="center" vertical="center" wrapText="1"/>
    </xf>
    <xf numFmtId="0" fontId="18" fillId="11" borderId="15" xfId="0" applyNumberFormat="1"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24" fillId="22" borderId="12" xfId="19" applyFont="1" applyFill="1" applyBorder="1" applyAlignment="1">
      <alignment horizontal="center" vertical="center" wrapText="1"/>
    </xf>
    <xf numFmtId="164" fontId="17" fillId="14" borderId="26" xfId="19" applyNumberFormat="1" applyFont="1" applyFill="1" applyBorder="1" applyAlignment="1">
      <alignment horizontal="center" vertical="center" wrapText="1"/>
    </xf>
    <xf numFmtId="164" fontId="17" fillId="14" borderId="27" xfId="19" applyNumberFormat="1" applyFont="1" applyFill="1" applyBorder="1" applyAlignment="1">
      <alignment horizontal="center" vertical="center" wrapText="1"/>
    </xf>
    <xf numFmtId="164" fontId="17" fillId="14" borderId="28" xfId="19" applyNumberFormat="1" applyFont="1" applyFill="1" applyBorder="1" applyAlignment="1">
      <alignment horizontal="center" vertical="center" wrapText="1"/>
    </xf>
    <xf numFmtId="0" fontId="17" fillId="14" borderId="23" xfId="19" applyFont="1" applyFill="1" applyBorder="1" applyAlignment="1">
      <alignment horizontal="center" vertical="center" wrapText="1"/>
    </xf>
    <xf numFmtId="0" fontId="17" fillId="20" borderId="11" xfId="19" applyFont="1" applyFill="1" applyBorder="1" applyAlignment="1">
      <alignment horizontal="center" vertical="center" wrapText="1"/>
    </xf>
    <xf numFmtId="0" fontId="17" fillId="20" borderId="12" xfId="19" applyFont="1" applyFill="1" applyBorder="1" applyAlignment="1">
      <alignment horizontal="center" vertical="center" wrapText="1"/>
    </xf>
    <xf numFmtId="0" fontId="17" fillId="20" borderId="23" xfId="19"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9" fontId="21" fillId="0" borderId="0" xfId="6" applyFont="1" applyBorder="1" applyAlignment="1">
      <alignment horizontal="center" vertical="center" wrapText="1"/>
    </xf>
    <xf numFmtId="0" fontId="31" fillId="0" borderId="0" xfId="0" applyFont="1" applyBorder="1">
      <alignment horizontal="center" vertical="center"/>
    </xf>
    <xf numFmtId="0" fontId="0" fillId="0" borderId="0" xfId="0" applyBorder="1">
      <alignment horizontal="center" vertical="center"/>
    </xf>
    <xf numFmtId="0" fontId="32" fillId="25" borderId="0" xfId="19" applyFont="1" applyFill="1" applyAlignment="1">
      <alignment horizontal="center" vertical="center" wrapText="1"/>
    </xf>
    <xf numFmtId="0" fontId="31" fillId="19" borderId="0" xfId="0" applyFont="1" applyFill="1" applyBorder="1">
      <alignment horizontal="center" vertical="center"/>
    </xf>
    <xf numFmtId="0" fontId="0" fillId="19" borderId="0" xfId="0" applyFill="1" applyBorder="1">
      <alignment horizontal="center" vertical="center"/>
    </xf>
    <xf numFmtId="0" fontId="33" fillId="19" borderId="0" xfId="19" applyFont="1" applyFill="1" applyAlignment="1">
      <alignment horizontal="left" vertical="center" wrapText="1"/>
    </xf>
    <xf numFmtId="2" fontId="31" fillId="19" borderId="0" xfId="0" applyNumberFormat="1" applyFont="1" applyFill="1" applyBorder="1">
      <alignment horizontal="center" vertical="center"/>
    </xf>
    <xf numFmtId="2" fontId="31" fillId="0" borderId="0" xfId="0" applyNumberFormat="1" applyFont="1" applyFill="1" applyBorder="1">
      <alignment horizontal="center" vertical="center"/>
    </xf>
    <xf numFmtId="2" fontId="31" fillId="0" borderId="0" xfId="0" applyNumberFormat="1" applyFont="1" applyBorder="1">
      <alignment horizontal="center" vertical="center"/>
    </xf>
    <xf numFmtId="0" fontId="35" fillId="0" borderId="0" xfId="0" applyFont="1" applyBorder="1">
      <alignment horizontal="center" vertical="center"/>
    </xf>
    <xf numFmtId="49" fontId="4" fillId="0" borderId="13" xfId="0" applyNumberFormat="1" applyFont="1" applyBorder="1" applyAlignment="1">
      <alignment horizontal="center" vertical="center" wrapText="1"/>
    </xf>
    <xf numFmtId="49" fontId="4" fillId="24" borderId="13" xfId="0" applyNumberFormat="1" applyFont="1" applyFill="1" applyBorder="1" applyAlignment="1">
      <alignment horizontal="center" vertical="center" wrapText="1"/>
    </xf>
    <xf numFmtId="49" fontId="4" fillId="24" borderId="36" xfId="0" applyNumberFormat="1" applyFont="1" applyFill="1" applyBorder="1" applyAlignment="1">
      <alignment horizontal="center" vertical="center" wrapText="1"/>
    </xf>
    <xf numFmtId="0" fontId="15" fillId="0" borderId="5"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165" fontId="17" fillId="0" borderId="5" xfId="19" applyNumberFormat="1" applyFont="1" applyBorder="1" applyAlignment="1">
      <alignment horizontal="center" vertical="center" wrapText="1"/>
    </xf>
    <xf numFmtId="165" fontId="17" fillId="14" borderId="5" xfId="19"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36" fillId="25" borderId="5" xfId="19" applyFont="1" applyFill="1" applyBorder="1" applyAlignment="1">
      <alignment horizontal="center" vertical="center" wrapText="1"/>
    </xf>
    <xf numFmtId="164" fontId="26" fillId="25" borderId="5" xfId="19" applyNumberFormat="1"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28" borderId="8" xfId="0" applyFont="1" applyFill="1" applyBorder="1" applyAlignment="1">
      <alignment horizontal="center" vertical="center" wrapText="1"/>
    </xf>
    <xf numFmtId="164" fontId="15" fillId="0" borderId="18" xfId="0" applyNumberFormat="1" applyFont="1" applyBorder="1" applyAlignment="1">
      <alignment horizontal="center" vertical="center" wrapText="1"/>
    </xf>
    <xf numFmtId="0" fontId="15" fillId="2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30" borderId="9" xfId="0" applyFont="1" applyFill="1" applyBorder="1" applyAlignment="1">
      <alignment horizontal="center" vertical="center" wrapText="1"/>
    </xf>
    <xf numFmtId="0" fontId="15" fillId="31" borderId="10"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14" borderId="23" xfId="19" applyNumberFormat="1" applyFont="1" applyFill="1" applyBorder="1" applyAlignment="1">
      <alignment horizontal="center" vertical="center" wrapText="1"/>
    </xf>
    <xf numFmtId="0" fontId="39" fillId="33" borderId="0" xfId="0" applyFont="1" applyFill="1" applyAlignment="1">
      <alignment vertical="center" wrapText="1"/>
    </xf>
    <xf numFmtId="0" fontId="40" fillId="0" borderId="0" xfId="0" applyFont="1" applyAlignment="1">
      <alignment horizontal="center" vertical="center" wrapText="1"/>
    </xf>
    <xf numFmtId="0" fontId="39" fillId="33" borderId="0" xfId="0" applyFont="1" applyFill="1" applyAlignment="1">
      <alignment horizontal="center" vertical="center" wrapText="1"/>
    </xf>
    <xf numFmtId="0" fontId="40" fillId="34" borderId="8" xfId="0" applyFont="1" applyFill="1" applyBorder="1" applyAlignment="1">
      <alignment horizontal="center" vertical="center" wrapText="1"/>
    </xf>
    <xf numFmtId="0" fontId="40" fillId="34" borderId="5" xfId="0" applyFont="1" applyFill="1" applyBorder="1" applyAlignment="1">
      <alignment horizontal="center" vertical="center" wrapText="1"/>
    </xf>
    <xf numFmtId="0" fontId="40" fillId="31" borderId="5" xfId="0" applyFont="1" applyFill="1" applyBorder="1" applyAlignment="1">
      <alignment horizontal="center" vertical="center" wrapText="1"/>
    </xf>
    <xf numFmtId="164" fontId="40" fillId="0" borderId="5" xfId="0" applyNumberFormat="1" applyFont="1" applyBorder="1" applyAlignment="1">
      <alignment horizontal="center" vertical="center" wrapText="1"/>
    </xf>
    <xf numFmtId="164" fontId="40" fillId="0" borderId="18" xfId="0" applyNumberFormat="1" applyFont="1" applyBorder="1" applyAlignment="1">
      <alignment horizontal="center" vertical="center" wrapText="1"/>
    </xf>
    <xf numFmtId="0" fontId="40" fillId="34" borderId="9"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1" borderId="10" xfId="0" applyFont="1" applyFill="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40" xfId="0" applyNumberFormat="1" applyFont="1" applyBorder="1" applyAlignment="1">
      <alignment horizontal="center" vertical="center" wrapText="1"/>
    </xf>
    <xf numFmtId="0" fontId="39" fillId="0" borderId="0" xfId="0" applyFont="1" applyAlignment="1">
      <alignment horizontal="center" vertical="center" wrapText="1"/>
    </xf>
    <xf numFmtId="49" fontId="3" fillId="0" borderId="13" xfId="0" applyNumberFormat="1" applyFont="1" applyBorder="1" applyAlignment="1">
      <alignment horizontal="center" vertical="center" wrapText="1"/>
    </xf>
    <xf numFmtId="49" fontId="4" fillId="31" borderId="13"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16" fillId="27" borderId="37" xfId="0" applyFont="1" applyFill="1" applyBorder="1" applyAlignment="1">
      <alignment horizontal="center" vertical="center" wrapText="1"/>
    </xf>
    <xf numFmtId="0" fontId="16" fillId="27" borderId="3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165" fontId="17" fillId="35" borderId="5" xfId="19" applyNumberFormat="1" applyFont="1" applyFill="1" applyBorder="1" applyAlignment="1">
      <alignment horizontal="center" vertical="center" wrapText="1"/>
    </xf>
    <xf numFmtId="0" fontId="9" fillId="27" borderId="5" xfId="0" applyFont="1" applyFill="1" applyBorder="1" applyAlignment="1">
      <alignment horizontal="center" vertical="center" wrapText="1"/>
    </xf>
    <xf numFmtId="0" fontId="16" fillId="26" borderId="5" xfId="19" applyFont="1" applyFill="1" applyBorder="1" applyAlignment="1">
      <alignment horizontal="center" vertical="center" wrapText="1"/>
    </xf>
    <xf numFmtId="0" fontId="16" fillId="14" borderId="5" xfId="19"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6" fillId="26" borderId="10" xfId="19" applyFont="1" applyFill="1" applyBorder="1" applyAlignment="1">
      <alignment horizontal="center" vertical="center" wrapText="1"/>
    </xf>
    <xf numFmtId="0" fontId="16" fillId="36" borderId="5" xfId="19" applyFont="1" applyFill="1" applyBorder="1" applyAlignment="1">
      <alignment horizontal="center" vertical="center" wrapText="1"/>
    </xf>
    <xf numFmtId="0" fontId="42" fillId="32" borderId="0" xfId="20" applyFont="1" applyFill="1" applyAlignment="1">
      <alignment horizontal="center" vertical="center" wrapText="1"/>
    </xf>
    <xf numFmtId="49" fontId="42" fillId="32" borderId="0" xfId="20" applyNumberFormat="1" applyFont="1" applyFill="1" applyAlignment="1">
      <alignment horizontal="center" vertical="center" wrapText="1"/>
    </xf>
    <xf numFmtId="0" fontId="16" fillId="0" borderId="0" xfId="20" applyFont="1" applyAlignment="1">
      <alignment horizontal="center" vertical="center" wrapText="1"/>
    </xf>
    <xf numFmtId="0" fontId="17" fillId="0" borderId="0" xfId="20" applyFont="1" applyAlignment="1">
      <alignment horizontal="center" vertical="center" wrapText="1"/>
    </xf>
    <xf numFmtId="49" fontId="17" fillId="0" borderId="0" xfId="20" applyNumberFormat="1" applyFont="1" applyAlignment="1">
      <alignment horizontal="center" vertical="center" wrapText="1"/>
    </xf>
    <xf numFmtId="164" fontId="40" fillId="0" borderId="41" xfId="0" applyNumberFormat="1" applyFont="1" applyBorder="1" applyAlignment="1">
      <alignment horizontal="center" vertical="center" wrapText="1"/>
    </xf>
    <xf numFmtId="0" fontId="40" fillId="34" borderId="7"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1"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0" fontId="38" fillId="32" borderId="26"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8" fillId="33" borderId="27" xfId="0" applyFont="1" applyFill="1" applyBorder="1" applyAlignment="1">
      <alignment horizontal="center" vertical="center" wrapText="1"/>
    </xf>
    <xf numFmtId="0" fontId="38" fillId="33" borderId="43" xfId="0"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17" fillId="37" borderId="0" xfId="20" applyFont="1" applyFill="1" applyAlignment="1">
      <alignment horizontal="center" vertical="center" wrapText="1"/>
    </xf>
    <xf numFmtId="0" fontId="17" fillId="34" borderId="0" xfId="20" applyFont="1" applyFill="1" applyAlignment="1">
      <alignment horizontal="center" vertical="center" wrapText="1"/>
    </xf>
    <xf numFmtId="0" fontId="17" fillId="29" borderId="0" xfId="20" applyFont="1" applyFill="1" applyAlignment="1">
      <alignment horizontal="center" vertical="center" wrapText="1"/>
    </xf>
    <xf numFmtId="0" fontId="16" fillId="38" borderId="11" xfId="20" applyFont="1" applyFill="1" applyBorder="1" applyAlignment="1">
      <alignment horizontal="center" vertical="center" wrapText="1"/>
    </xf>
    <xf numFmtId="0" fontId="16" fillId="38" borderId="12" xfId="20" applyFont="1" applyFill="1" applyBorder="1" applyAlignment="1">
      <alignment horizontal="center" vertical="center" wrapText="1"/>
    </xf>
    <xf numFmtId="0" fontId="16" fillId="38" borderId="23" xfId="20" applyFont="1" applyFill="1" applyBorder="1" applyAlignment="1">
      <alignment horizontal="center" vertical="center" wrapText="1"/>
    </xf>
    <xf numFmtId="0" fontId="17" fillId="38" borderId="23" xfId="20" applyFont="1" applyFill="1" applyBorder="1" applyAlignment="1">
      <alignment horizontal="center" vertical="center" wrapText="1"/>
    </xf>
    <xf numFmtId="164" fontId="17" fillId="0" borderId="5" xfId="19" applyNumberFormat="1" applyFont="1" applyBorder="1" applyAlignment="1">
      <alignment horizontal="center" vertical="center" wrapText="1"/>
    </xf>
    <xf numFmtId="0" fontId="17" fillId="39" borderId="0" xfId="20" applyFont="1" applyFill="1" applyAlignment="1">
      <alignment horizontal="center" vertical="center" wrapText="1"/>
    </xf>
    <xf numFmtId="0" fontId="17" fillId="40" borderId="0" xfId="20" applyFont="1" applyFill="1" applyAlignment="1">
      <alignment horizontal="center" vertical="center" wrapText="1"/>
    </xf>
    <xf numFmtId="0" fontId="16" fillId="40" borderId="11" xfId="20" applyFont="1" applyFill="1" applyBorder="1" applyAlignment="1">
      <alignment horizontal="center" vertical="center" wrapText="1"/>
    </xf>
    <xf numFmtId="0" fontId="17" fillId="41" borderId="0" xfId="20" applyFont="1" applyFill="1" applyAlignment="1">
      <alignment horizontal="center" vertical="center" wrapText="1"/>
    </xf>
    <xf numFmtId="0" fontId="17" fillId="42" borderId="0" xfId="20" applyFont="1" applyFill="1" applyAlignment="1">
      <alignment horizontal="center" vertical="center" wrapText="1"/>
    </xf>
    <xf numFmtId="0" fontId="44" fillId="0" borderId="0" xfId="0" applyFont="1">
      <alignment horizontal="center" vertical="center"/>
    </xf>
    <xf numFmtId="2" fontId="17" fillId="0" borderId="5" xfId="19" applyNumberFormat="1" applyFont="1" applyBorder="1" applyAlignment="1">
      <alignment horizontal="center" vertical="center" wrapText="1"/>
    </xf>
    <xf numFmtId="0" fontId="17" fillId="32" borderId="0" xfId="20" applyFont="1" applyFill="1" applyAlignment="1">
      <alignment horizontal="center" vertical="center" wrapText="1"/>
    </xf>
    <xf numFmtId="14" fontId="17" fillId="0" borderId="0" xfId="20" applyNumberFormat="1" applyFont="1" applyAlignment="1">
      <alignment horizontal="center" vertical="center" wrapText="1"/>
    </xf>
    <xf numFmtId="0" fontId="0" fillId="0" borderId="0" xfId="0" pivotButton="1">
      <alignment horizontal="center" vertical="center"/>
    </xf>
    <xf numFmtId="0" fontId="0" fillId="0" borderId="0" xfId="0" applyAlignment="1">
      <alignment horizontal="left" vertical="center"/>
    </xf>
    <xf numFmtId="0" fontId="0" fillId="0" borderId="0" xfId="0" applyNumberFormat="1">
      <alignment horizontal="center" vertical="center"/>
    </xf>
    <xf numFmtId="49" fontId="15" fillId="0" borderId="0" xfId="0" applyNumberFormat="1" applyFont="1" applyAlignment="1">
      <alignment horizontal="right"/>
    </xf>
    <xf numFmtId="0" fontId="15" fillId="0" borderId="0" xfId="0" applyFont="1" applyAlignment="1"/>
    <xf numFmtId="1" fontId="45" fillId="43" borderId="0" xfId="0" applyNumberFormat="1" applyFont="1" applyFill="1" applyAlignment="1">
      <alignment horizontal="left"/>
    </xf>
    <xf numFmtId="0" fontId="15" fillId="0" borderId="0" xfId="0" applyFont="1" applyAlignment="1">
      <alignment horizontal="left"/>
    </xf>
    <xf numFmtId="0" fontId="45" fillId="43" borderId="0" xfId="0" applyFont="1" applyFill="1" applyAlignment="1">
      <alignment horizontal="left"/>
    </xf>
    <xf numFmtId="0" fontId="47" fillId="37" borderId="0" xfId="0" applyFont="1" applyFill="1" applyAlignment="1"/>
    <xf numFmtId="0" fontId="45" fillId="10" borderId="0" xfId="0" applyFont="1" applyFill="1" applyAlignment="1"/>
    <xf numFmtId="0" fontId="0" fillId="0" borderId="0" xfId="0" applyAlignment="1"/>
    <xf numFmtId="1" fontId="45" fillId="0" borderId="0" xfId="0" applyNumberFormat="1" applyFont="1" applyFill="1" applyAlignment="1">
      <alignment horizontal="left"/>
    </xf>
    <xf numFmtId="0" fontId="15" fillId="0" borderId="0" xfId="0" applyFont="1" applyFill="1" applyAlignment="1">
      <alignment horizontal="left"/>
    </xf>
    <xf numFmtId="0" fontId="45" fillId="0" borderId="0" xfId="0" applyFont="1" applyFill="1" applyAlignment="1">
      <alignment horizontal="left"/>
    </xf>
    <xf numFmtId="1" fontId="45" fillId="21" borderId="0" xfId="0" applyNumberFormat="1" applyFont="1" applyFill="1" applyAlignment="1"/>
    <xf numFmtId="1" fontId="45" fillId="21" borderId="0" xfId="0" applyNumberFormat="1" applyFont="1" applyFill="1" applyAlignment="1">
      <alignment horizontal="center"/>
    </xf>
    <xf numFmtId="0" fontId="45" fillId="21" borderId="0" xfId="0" applyFont="1" applyFill="1" applyAlignment="1">
      <alignment horizontal="center"/>
    </xf>
    <xf numFmtId="164" fontId="15" fillId="0" borderId="0" xfId="0" applyNumberFormat="1" applyFont="1" applyAlignment="1">
      <alignment horizontal="center"/>
    </xf>
    <xf numFmtId="0" fontId="45" fillId="13" borderId="0" xfId="0" applyFont="1" applyFill="1" applyAlignment="1"/>
    <xf numFmtId="0" fontId="46" fillId="0" borderId="0" xfId="0" applyFont="1" applyFill="1" applyAlignment="1">
      <alignment horizontal="center"/>
    </xf>
    <xf numFmtId="1" fontId="15" fillId="0" borderId="0" xfId="0" applyNumberFormat="1" applyFont="1" applyAlignment="1"/>
    <xf numFmtId="49" fontId="45" fillId="44" borderId="0" xfId="0" applyNumberFormat="1" applyFont="1" applyFill="1" applyAlignment="1">
      <alignment horizontal="right"/>
    </xf>
    <xf numFmtId="0" fontId="45" fillId="44" borderId="0" xfId="0" applyFont="1" applyFill="1" applyAlignment="1"/>
    <xf numFmtId="1" fontId="45" fillId="10" borderId="0" xfId="0" applyNumberFormat="1" applyFont="1" applyFill="1" applyAlignment="1">
      <alignment horizontal="center"/>
    </xf>
    <xf numFmtId="0" fontId="45" fillId="10" borderId="0" xfId="0" applyFont="1" applyFill="1" applyAlignment="1">
      <alignment horizontal="center"/>
    </xf>
    <xf numFmtId="0" fontId="45" fillId="13" borderId="0" xfId="0" applyFont="1" applyFill="1" applyAlignment="1">
      <alignment horizontal="center"/>
    </xf>
    <xf numFmtId="0" fontId="45" fillId="30" borderId="0" xfId="0" applyFont="1" applyFill="1" applyAlignment="1">
      <alignment horizontal="center"/>
    </xf>
    <xf numFmtId="0" fontId="45" fillId="44" borderId="0" xfId="0" applyFont="1" applyFill="1" applyAlignment="1">
      <alignment horizontal="center"/>
    </xf>
    <xf numFmtId="49" fontId="15" fillId="45" borderId="0" xfId="0" applyNumberFormat="1" applyFont="1" applyFill="1" applyAlignment="1">
      <alignment horizontal="right"/>
    </xf>
    <xf numFmtId="0" fontId="15" fillId="45" borderId="0" xfId="0" applyFont="1" applyFill="1" applyAlignment="1"/>
    <xf numFmtId="1" fontId="15" fillId="45" borderId="0" xfId="0" applyNumberFormat="1" applyFont="1" applyFill="1" applyAlignment="1">
      <alignment horizontal="center"/>
    </xf>
    <xf numFmtId="2" fontId="15" fillId="45" borderId="0" xfId="0" applyNumberFormat="1" applyFont="1" applyFill="1" applyAlignment="1">
      <alignment horizontal="center"/>
    </xf>
    <xf numFmtId="0" fontId="15" fillId="45" borderId="0" xfId="0" applyFont="1" applyFill="1" applyAlignment="1">
      <alignment horizontal="center"/>
    </xf>
    <xf numFmtId="0" fontId="45" fillId="30" borderId="0" xfId="0" applyFont="1" applyFill="1" applyAlignment="1"/>
    <xf numFmtId="1" fontId="15" fillId="0" borderId="0" xfId="0" applyNumberFormat="1" applyFont="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0" fontId="45" fillId="43" borderId="0" xfId="0" applyFont="1" applyFill="1" applyAlignment="1"/>
    <xf numFmtId="0" fontId="45" fillId="21" borderId="0" xfId="0" applyFont="1" applyFill="1" applyAlignment="1"/>
    <xf numFmtId="0" fontId="45" fillId="21" borderId="0" xfId="0" applyFont="1" applyFill="1" applyAlignment="1">
      <alignment horizontal="left"/>
    </xf>
    <xf numFmtId="1" fontId="15" fillId="0" borderId="0" xfId="0" applyNumberFormat="1" applyFont="1" applyFill="1" applyAlignment="1">
      <alignment horizontal="center"/>
    </xf>
    <xf numFmtId="0" fontId="15" fillId="0" borderId="0" xfId="0" applyNumberFormat="1" applyFont="1" applyAlignment="1">
      <alignment horizontal="right"/>
    </xf>
    <xf numFmtId="0" fontId="1" fillId="23" borderId="0" xfId="0" applyFont="1" applyFill="1">
      <alignment horizontal="center" vertical="center"/>
    </xf>
    <xf numFmtId="0" fontId="1" fillId="23" borderId="44" xfId="0" applyFont="1" applyFill="1" applyBorder="1">
      <alignment horizontal="center" vertical="center"/>
    </xf>
    <xf numFmtId="0" fontId="1" fillId="0" borderId="0" xfId="0" applyFont="1">
      <alignment horizontal="center" vertical="center"/>
    </xf>
    <xf numFmtId="0" fontId="45" fillId="0" borderId="44" xfId="0" applyFont="1" applyBorder="1">
      <alignment horizontal="center" vertical="center"/>
    </xf>
    <xf numFmtId="0" fontId="45" fillId="0" borderId="45" xfId="0" applyFont="1" applyBorder="1">
      <alignment horizontal="center" vertical="center"/>
    </xf>
    <xf numFmtId="0" fontId="45" fillId="0" borderId="46" xfId="0" applyFont="1" applyBorder="1">
      <alignment horizontal="center" vertical="center"/>
    </xf>
    <xf numFmtId="0" fontId="45" fillId="46" borderId="46" xfId="0" applyFont="1" applyFill="1" applyBorder="1">
      <alignment horizontal="center" vertical="center"/>
    </xf>
    <xf numFmtId="2" fontId="45" fillId="34" borderId="46" xfId="0" applyNumberFormat="1" applyFont="1" applyFill="1" applyBorder="1">
      <alignment horizontal="center" vertical="center"/>
    </xf>
    <xf numFmtId="0" fontId="45" fillId="46" borderId="46" xfId="0" applyFont="1" applyFill="1" applyBorder="1" applyAlignment="1">
      <alignment vertical="center"/>
    </xf>
    <xf numFmtId="0" fontId="45" fillId="0" borderId="46" xfId="0" applyFont="1" applyBorder="1" applyAlignment="1">
      <alignment horizontal="center" vertical="top"/>
    </xf>
    <xf numFmtId="0" fontId="45" fillId="46" borderId="46" xfId="0" applyFont="1" applyFill="1" applyBorder="1" applyAlignment="1">
      <alignment horizontal="center" vertical="center" wrapText="1"/>
    </xf>
    <xf numFmtId="0" fontId="45" fillId="0" borderId="47" xfId="0" applyFont="1" applyBorder="1">
      <alignment horizontal="center" vertical="center"/>
    </xf>
    <xf numFmtId="0" fontId="45" fillId="0" borderId="0" xfId="0" applyFont="1">
      <alignment horizontal="center" vertical="center"/>
    </xf>
    <xf numFmtId="0" fontId="45" fillId="47" borderId="33" xfId="0" applyFont="1" applyFill="1" applyBorder="1">
      <alignment horizontal="center" vertical="center"/>
    </xf>
    <xf numFmtId="0" fontId="45" fillId="47" borderId="37" xfId="0" applyFont="1" applyFill="1" applyBorder="1">
      <alignment horizontal="center" vertical="center"/>
    </xf>
    <xf numFmtId="0" fontId="45" fillId="47" borderId="38" xfId="0" applyFont="1" applyFill="1" applyBorder="1">
      <alignment horizontal="center" vertical="center"/>
    </xf>
    <xf numFmtId="0" fontId="45" fillId="46" borderId="38" xfId="0" applyFont="1" applyFill="1" applyBorder="1" applyAlignment="1">
      <alignment horizontal="center" vertical="center" wrapText="1" readingOrder="2"/>
    </xf>
    <xf numFmtId="0" fontId="45" fillId="46" borderId="38" xfId="0" applyFont="1" applyFill="1" applyBorder="1" applyAlignment="1">
      <alignment horizontal="center" vertical="center" wrapText="1"/>
    </xf>
    <xf numFmtId="49" fontId="45" fillId="47" borderId="38" xfId="0" applyNumberFormat="1" applyFont="1" applyFill="1" applyBorder="1" applyAlignment="1">
      <alignment horizontal="center" vertical="center" wrapText="1"/>
    </xf>
    <xf numFmtId="0" fontId="45" fillId="47" borderId="39" xfId="0" applyFont="1" applyFill="1" applyBorder="1">
      <alignment horizontal="center" vertical="center"/>
    </xf>
    <xf numFmtId="0" fontId="15" fillId="48" borderId="3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19" borderId="5"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4" fontId="15" fillId="34" borderId="5" xfId="0" applyNumberFormat="1" applyFont="1" applyFill="1" applyBorder="1" applyAlignment="1">
      <alignment horizontal="center" vertical="center" wrapText="1"/>
    </xf>
    <xf numFmtId="0" fontId="15" fillId="0" borderId="5" xfId="19" applyFont="1" applyBorder="1" applyAlignment="1">
      <alignment horizontal="center" vertical="center" wrapText="1"/>
    </xf>
    <xf numFmtId="0" fontId="22" fillId="0" borderId="5" xfId="0" applyFont="1" applyBorder="1" applyAlignment="1">
      <alignment horizontal="center" vertical="center" wrapText="1"/>
    </xf>
    <xf numFmtId="17" fontId="15" fillId="0" borderId="5"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48" borderId="32" xfId="0" applyFont="1" applyFill="1" applyBorder="1">
      <alignment horizontal="center" vertical="center"/>
    </xf>
    <xf numFmtId="49" fontId="1" fillId="0" borderId="8" xfId="0" applyNumberFormat="1" applyFont="1" applyBorder="1">
      <alignment horizontal="center" vertical="center"/>
    </xf>
    <xf numFmtId="0" fontId="45"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21" applyFont="1" applyBorder="1" applyAlignment="1">
      <alignment horizontal="center" vertical="center" wrapText="1"/>
    </xf>
    <xf numFmtId="0" fontId="1" fillId="0" borderId="5" xfId="19" applyFont="1" applyBorder="1" applyAlignment="1">
      <alignment horizontal="center" vertical="center" wrapText="1"/>
    </xf>
    <xf numFmtId="49" fontId="22" fillId="0" borderId="5" xfId="0" applyNumberFormat="1" applyFont="1" applyBorder="1" applyAlignment="1">
      <alignment horizontal="center" vertical="center" wrapText="1"/>
    </xf>
    <xf numFmtId="14" fontId="1" fillId="0" borderId="5" xfId="0" applyNumberFormat="1" applyFont="1" applyBorder="1">
      <alignment horizontal="center" vertical="center"/>
    </xf>
    <xf numFmtId="0" fontId="51" fillId="0" borderId="5" xfId="21" applyFont="1" applyBorder="1" applyAlignment="1">
      <alignment horizontal="center" vertical="center" wrapText="1"/>
    </xf>
    <xf numFmtId="49" fontId="1" fillId="0" borderId="5" xfId="0" applyNumberFormat="1" applyFont="1" applyBorder="1" applyAlignment="1">
      <alignment horizontal="center" vertical="center" wrapText="1"/>
    </xf>
    <xf numFmtId="0" fontId="17" fillId="0" borderId="5" xfId="21" applyFont="1" applyBorder="1" applyAlignment="1">
      <alignment horizontal="center" vertical="center" wrapText="1"/>
    </xf>
    <xf numFmtId="0" fontId="15" fillId="0" borderId="6" xfId="0" applyFont="1" applyFill="1" applyBorder="1" applyAlignment="1">
      <alignment horizontal="center" vertical="center" wrapText="1"/>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Alignment="1">
      <alignment vertical="center"/>
    </xf>
    <xf numFmtId="1" fontId="1" fillId="0" borderId="5" xfId="0" applyNumberFormat="1" applyFont="1" applyBorder="1">
      <alignment horizontal="center" vertical="center"/>
    </xf>
    <xf numFmtId="1" fontId="15" fillId="12" borderId="5" xfId="0" applyNumberFormat="1" applyFont="1" applyFill="1" applyBorder="1" applyAlignment="1">
      <alignment horizontal="center" vertical="center" wrapText="1"/>
    </xf>
    <xf numFmtId="1" fontId="1" fillId="12" borderId="5" xfId="21" applyNumberFormat="1" applyFont="1" applyFill="1" applyBorder="1" applyAlignment="1">
      <alignment horizontal="center" vertical="center" wrapText="1"/>
    </xf>
    <xf numFmtId="1" fontId="1" fillId="0" borderId="5" xfId="21" applyNumberFormat="1" applyFont="1" applyBorder="1" applyAlignment="1">
      <alignment horizontal="center" vertical="center" wrapText="1"/>
    </xf>
    <xf numFmtId="0" fontId="15" fillId="0" borderId="5" xfId="0" applyFont="1" applyFill="1" applyBorder="1" applyAlignment="1">
      <alignment horizontal="left" vertical="center" wrapText="1"/>
    </xf>
    <xf numFmtId="1" fontId="15" fillId="0" borderId="5" xfId="0" applyNumberFormat="1" applyFont="1" applyBorder="1">
      <alignment horizontal="center" vertical="center"/>
    </xf>
    <xf numFmtId="0" fontId="15" fillId="0" borderId="6" xfId="0" applyFont="1" applyFill="1" applyBorder="1" applyAlignment="1">
      <alignment horizontal="left" vertical="center" wrapText="1"/>
    </xf>
    <xf numFmtId="1" fontId="15" fillId="0" borderId="5" xfId="0" applyNumberFormat="1" applyFont="1" applyBorder="1" applyAlignment="1">
      <alignment horizontal="center" vertical="center" wrapText="1"/>
    </xf>
    <xf numFmtId="0" fontId="1" fillId="0" borderId="0" xfId="22"/>
    <xf numFmtId="0" fontId="22" fillId="50" borderId="53" xfId="22" applyFont="1" applyFill="1" applyBorder="1" applyAlignment="1">
      <alignment horizontal="center" vertical="center"/>
    </xf>
    <xf numFmtId="0" fontId="1" fillId="0" borderId="0" xfId="22" applyAlignment="1">
      <alignment vertical="center"/>
    </xf>
    <xf numFmtId="0" fontId="22" fillId="0" borderId="53" xfId="22" applyFont="1" applyBorder="1" applyAlignment="1">
      <alignment horizontal="center" vertical="center"/>
    </xf>
    <xf numFmtId="0" fontId="45" fillId="0" borderId="5" xfId="22" applyFont="1" applyBorder="1" applyAlignment="1">
      <alignment horizontal="center" vertical="center" wrapText="1"/>
    </xf>
    <xf numFmtId="0" fontId="1" fillId="0" borderId="5" xfId="22" applyBorder="1" applyAlignment="1">
      <alignment horizontal="center" vertical="center" wrapText="1"/>
    </xf>
    <xf numFmtId="17" fontId="1" fillId="0" borderId="5" xfId="22" applyNumberFormat="1" applyBorder="1" applyAlignment="1">
      <alignment horizontal="center" vertical="center" wrapText="1"/>
    </xf>
    <xf numFmtId="0" fontId="45" fillId="27" borderId="5" xfId="22" applyFont="1" applyFill="1" applyBorder="1" applyAlignment="1">
      <alignment horizontal="center" vertical="center" wrapText="1"/>
    </xf>
    <xf numFmtId="0" fontId="53" fillId="23" borderId="0" xfId="22" applyFont="1" applyFill="1" applyAlignment="1">
      <alignment horizontal="left" vertical="center"/>
    </xf>
    <xf numFmtId="0" fontId="1" fillId="0" borderId="5" xfId="22" applyBorder="1" applyAlignment="1">
      <alignment horizontal="left" vertical="center" wrapText="1"/>
    </xf>
    <xf numFmtId="0" fontId="1" fillId="0" borderId="0" xfId="22" applyAlignment="1">
      <alignment wrapText="1"/>
    </xf>
    <xf numFmtId="0" fontId="45" fillId="46" borderId="46" xfId="0" applyFont="1" applyFill="1" applyBorder="1" applyAlignment="1">
      <alignment vertical="center" wrapText="1"/>
    </xf>
    <xf numFmtId="0" fontId="53" fillId="0" borderId="0" xfId="22" applyFont="1" applyAlignment="1">
      <alignment horizontal="left" vertical="center"/>
    </xf>
    <xf numFmtId="0" fontId="16" fillId="53"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166" fontId="17" fillId="53" borderId="5" xfId="0" applyNumberFormat="1" applyFont="1" applyFill="1" applyBorder="1" applyAlignment="1">
      <alignment horizontal="right" vertical="center" wrapText="1"/>
    </xf>
    <xf numFmtId="0" fontId="63" fillId="0" borderId="0" xfId="0" applyFont="1" applyAlignment="1">
      <alignment vertical="center" wrapText="1"/>
    </xf>
    <xf numFmtId="0" fontId="62" fillId="0" borderId="0" xfId="0" applyFont="1" applyAlignment="1">
      <alignment horizontal="left" vertical="center" wrapText="1"/>
    </xf>
    <xf numFmtId="166" fontId="17" fillId="53" borderId="5" xfId="0" quotePrefix="1" applyNumberFormat="1" applyFont="1" applyFill="1" applyBorder="1" applyAlignment="1">
      <alignment horizontal="right" vertical="center" wrapText="1"/>
    </xf>
    <xf numFmtId="0" fontId="62" fillId="54" borderId="5" xfId="0" applyFont="1" applyFill="1" applyBorder="1" applyAlignment="1">
      <alignment horizontal="center" vertical="center" wrapText="1"/>
    </xf>
    <xf numFmtId="0" fontId="64" fillId="54" borderId="5" xfId="0" applyFont="1" applyFill="1" applyBorder="1" applyAlignment="1">
      <alignment horizontal="center" vertical="center" wrapText="1"/>
    </xf>
    <xf numFmtId="0" fontId="16" fillId="0" borderId="5" xfId="0" applyFont="1" applyBorder="1" applyAlignment="1">
      <alignment horizontal="center" vertical="top" wrapText="1"/>
    </xf>
    <xf numFmtId="167" fontId="17" fillId="0" borderId="5" xfId="0" applyNumberFormat="1" applyFont="1" applyBorder="1" applyAlignment="1">
      <alignment vertical="top" wrapText="1"/>
    </xf>
    <xf numFmtId="0" fontId="17" fillId="13"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left" vertical="top" wrapText="1"/>
    </xf>
    <xf numFmtId="0" fontId="17" fillId="0" borderId="5" xfId="0" applyFont="1" applyBorder="1" applyAlignment="1">
      <alignment vertical="top" wrapText="1"/>
    </xf>
    <xf numFmtId="0" fontId="16" fillId="13" borderId="5" xfId="0" applyFont="1" applyFill="1" applyBorder="1" applyAlignment="1">
      <alignment horizontal="center" vertical="top" wrapText="1"/>
    </xf>
    <xf numFmtId="0" fontId="16" fillId="55" borderId="5" xfId="0" applyFont="1" applyFill="1" applyBorder="1" applyAlignment="1">
      <alignment horizontal="center" vertical="top" wrapText="1"/>
    </xf>
    <xf numFmtId="0" fontId="63" fillId="0" borderId="5" xfId="0" applyFont="1" applyBorder="1" applyAlignment="1">
      <alignment horizontal="left" vertical="top" wrapText="1"/>
    </xf>
    <xf numFmtId="0" fontId="65" fillId="0" borderId="5" xfId="0" applyFont="1" applyBorder="1" applyAlignment="1">
      <alignment horizontal="left" vertical="top" wrapText="1"/>
    </xf>
    <xf numFmtId="0" fontId="62" fillId="45" borderId="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66" fillId="0" borderId="0" xfId="0" applyFont="1" applyAlignment="1"/>
    <xf numFmtId="0" fontId="67" fillId="0" borderId="0" xfId="0" applyFont="1" applyAlignment="1"/>
    <xf numFmtId="0" fontId="67" fillId="56" borderId="5" xfId="0" applyFont="1" applyFill="1" applyBorder="1" applyAlignment="1"/>
    <xf numFmtId="0" fontId="67" fillId="56" borderId="15" xfId="0" applyFont="1" applyFill="1" applyBorder="1" applyAlignment="1"/>
    <xf numFmtId="0" fontId="67" fillId="0" borderId="6" xfId="0" applyFont="1" applyBorder="1" applyAlignment="1"/>
    <xf numFmtId="0" fontId="67" fillId="0" borderId="21" xfId="0" applyFont="1" applyBorder="1" applyAlignment="1"/>
    <xf numFmtId="49" fontId="62" fillId="54" borderId="57" xfId="0" applyNumberFormat="1" applyFont="1" applyFill="1" applyBorder="1" applyAlignment="1">
      <alignment horizontal="center" vertical="center" wrapText="1"/>
    </xf>
    <xf numFmtId="0" fontId="65" fillId="0" borderId="5" xfId="0" applyFont="1" applyBorder="1" applyAlignment="1">
      <alignment vertical="top" wrapText="1"/>
    </xf>
    <xf numFmtId="0" fontId="68" fillId="0" borderId="5" xfId="0" applyFont="1" applyBorder="1" applyAlignment="1">
      <alignment vertical="top" wrapText="1"/>
    </xf>
    <xf numFmtId="0" fontId="68" fillId="0" borderId="6" xfId="0" applyFont="1" applyBorder="1" applyAlignment="1">
      <alignment vertical="top" wrapText="1"/>
    </xf>
    <xf numFmtId="0" fontId="18" fillId="11" borderId="5" xfId="0" applyNumberFormat="1" applyFont="1" applyFill="1" applyBorder="1" applyAlignment="1">
      <alignment horizontal="center" vertical="top"/>
    </xf>
    <xf numFmtId="0" fontId="15" fillId="0" borderId="6" xfId="5" applyFont="1" applyBorder="1" applyAlignment="1">
      <alignment horizontal="center" vertical="top"/>
    </xf>
    <xf numFmtId="0" fontId="12" fillId="0" borderId="0" xfId="12"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12" borderId="13" xfId="19" applyFont="1" applyFill="1" applyBorder="1" applyAlignment="1">
      <alignment horizontal="center" vertical="center" wrapText="1"/>
    </xf>
    <xf numFmtId="0" fontId="17" fillId="12" borderId="14" xfId="19" applyFont="1" applyFill="1" applyBorder="1" applyAlignment="1">
      <alignment horizontal="center" vertical="center" wrapText="1"/>
    </xf>
    <xf numFmtId="0" fontId="17" fillId="12" borderId="15" xfId="19" applyFont="1" applyFill="1" applyBorder="1" applyAlignment="1">
      <alignment horizontal="center" vertical="center" wrapText="1"/>
    </xf>
    <xf numFmtId="0" fontId="18" fillId="11" borderId="13" xfId="0" applyNumberFormat="1" applyFont="1" applyFill="1" applyBorder="1" applyAlignment="1">
      <alignment horizontal="center" vertical="top"/>
    </xf>
    <xf numFmtId="0" fontId="18" fillId="11" borderId="14" xfId="0" applyNumberFormat="1" applyFont="1" applyFill="1" applyBorder="1" applyAlignment="1">
      <alignment horizontal="center" vertical="top"/>
    </xf>
    <xf numFmtId="0" fontId="18" fillId="11" borderId="15" xfId="0" applyNumberFormat="1" applyFont="1" applyFill="1" applyBorder="1" applyAlignment="1">
      <alignment horizontal="center" vertical="top"/>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5" fillId="0" borderId="24" xfId="5" applyFont="1" applyBorder="1" applyAlignment="1">
      <alignment horizontal="center" vertical="top"/>
    </xf>
    <xf numFmtId="0" fontId="15" fillId="0" borderId="20" xfId="5" applyFont="1" applyBorder="1" applyAlignment="1">
      <alignment horizontal="center" vertical="top"/>
    </xf>
    <xf numFmtId="0" fontId="15" fillId="0" borderId="25" xfId="5" applyFont="1" applyBorder="1" applyAlignment="1">
      <alignment horizontal="center" vertical="top"/>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16" fillId="14" borderId="17" xfId="19" applyFont="1" applyFill="1" applyBorder="1" applyAlignment="1">
      <alignment horizontal="center" vertical="center"/>
    </xf>
    <xf numFmtId="0" fontId="16" fillId="14" borderId="6" xfId="19" applyFont="1" applyFill="1" applyBorder="1" applyAlignment="1">
      <alignment horizontal="center" vertical="center"/>
    </xf>
    <xf numFmtId="0" fontId="17" fillId="21" borderId="13" xfId="19" applyFont="1" applyFill="1" applyBorder="1" applyAlignment="1">
      <alignment horizontal="center" vertical="center"/>
    </xf>
    <xf numFmtId="0" fontId="17" fillId="21" borderId="14" xfId="19" applyFont="1" applyFill="1" applyBorder="1" applyAlignment="1">
      <alignment horizontal="center" vertical="center"/>
    </xf>
    <xf numFmtId="0" fontId="17" fillId="21" borderId="15" xfId="19" applyFont="1" applyFill="1" applyBorder="1" applyAlignment="1">
      <alignment horizontal="center" vertical="center"/>
    </xf>
    <xf numFmtId="0" fontId="17" fillId="20" borderId="11" xfId="19" applyFont="1" applyFill="1" applyBorder="1" applyAlignment="1">
      <alignment horizontal="center" vertical="center"/>
    </xf>
    <xf numFmtId="0" fontId="17" fillId="20" borderId="12" xfId="19" applyFont="1" applyFill="1" applyBorder="1" applyAlignment="1">
      <alignment horizontal="center" vertical="center"/>
    </xf>
    <xf numFmtId="0" fontId="17" fillId="20" borderId="23" xfId="19" applyFont="1" applyFill="1" applyBorder="1" applyAlignment="1">
      <alignment horizontal="center" vertical="center"/>
    </xf>
    <xf numFmtId="0" fontId="27" fillId="23" borderId="11" xfId="0"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28" fillId="23" borderId="29" xfId="0" applyFont="1" applyFill="1" applyBorder="1" applyAlignment="1">
      <alignment horizontal="center" vertical="center" wrapText="1"/>
    </xf>
    <xf numFmtId="0" fontId="28" fillId="23" borderId="30"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60" fillId="51" borderId="0" xfId="0" applyFont="1" applyFill="1" applyAlignment="1">
      <alignment horizontal="center" vertical="center" wrapText="1"/>
    </xf>
    <xf numFmtId="0" fontId="61" fillId="0" borderId="0" xfId="0" applyFont="1" applyAlignment="1">
      <alignment horizontal="center" vertical="center" wrapText="1"/>
    </xf>
    <xf numFmtId="0" fontId="62" fillId="52" borderId="0" xfId="0" applyFont="1" applyFill="1" applyAlignment="1">
      <alignment horizontal="left" vertical="center" wrapText="1"/>
    </xf>
    <xf numFmtId="0" fontId="6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53" borderId="0" xfId="0" applyFont="1" applyFill="1" applyAlignment="1">
      <alignment horizontal="left" vertical="center" wrapText="1"/>
    </xf>
    <xf numFmtId="0" fontId="43" fillId="32" borderId="0" xfId="20" applyFont="1" applyFill="1" applyAlignment="1">
      <alignment horizontal="center" vertical="center" wrapText="1"/>
    </xf>
    <xf numFmtId="0" fontId="41" fillId="23" borderId="11" xfId="0" applyFont="1" applyFill="1" applyBorder="1" applyAlignment="1">
      <alignment horizontal="center" vertical="center" wrapText="1"/>
    </xf>
    <xf numFmtId="0" fontId="41" fillId="23" borderId="23" xfId="0" applyFont="1" applyFill="1" applyBorder="1" applyAlignment="1">
      <alignment horizontal="center" vertical="center" wrapText="1"/>
    </xf>
    <xf numFmtId="0" fontId="16" fillId="36" borderId="17" xfId="19" applyFont="1" applyFill="1" applyBorder="1" applyAlignment="1">
      <alignment horizontal="center" vertical="center" wrapText="1"/>
    </xf>
    <xf numFmtId="0" fontId="16" fillId="36" borderId="6" xfId="19" applyFont="1" applyFill="1" applyBorder="1" applyAlignment="1">
      <alignment horizontal="center" vertical="center" wrapText="1"/>
    </xf>
    <xf numFmtId="0" fontId="16" fillId="26" borderId="17" xfId="19" applyFont="1" applyFill="1" applyBorder="1" applyAlignment="1">
      <alignment horizontal="center" vertical="center" wrapText="1"/>
    </xf>
    <xf numFmtId="0" fontId="16" fillId="26" borderId="6" xfId="19" applyFont="1" applyFill="1" applyBorder="1" applyAlignment="1">
      <alignment horizontal="center" vertical="center" wrapText="1"/>
    </xf>
    <xf numFmtId="0" fontId="29" fillId="12" borderId="32" xfId="19" applyFont="1" applyFill="1" applyBorder="1" applyAlignment="1">
      <alignment horizontal="center" vertical="center" wrapText="1"/>
    </xf>
    <xf numFmtId="0" fontId="29" fillId="12" borderId="14" xfId="19" applyFont="1" applyFill="1" applyBorder="1" applyAlignment="1">
      <alignment horizontal="center" vertical="center" wrapText="1"/>
    </xf>
    <xf numFmtId="0" fontId="29" fillId="12" borderId="15" xfId="19"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34" xfId="0" applyFont="1" applyFill="1" applyBorder="1" applyAlignment="1">
      <alignment horizontal="center" vertical="center" wrapText="1"/>
    </xf>
    <xf numFmtId="0" fontId="9" fillId="19" borderId="35" xfId="0" applyFont="1" applyFill="1" applyBorder="1" applyAlignment="1">
      <alignment horizontal="center" vertical="center" wrapText="1"/>
    </xf>
    <xf numFmtId="0" fontId="30" fillId="12" borderId="32" xfId="19" applyFont="1" applyFill="1" applyBorder="1" applyAlignment="1">
      <alignment horizontal="center" vertical="center" wrapText="1"/>
    </xf>
    <xf numFmtId="0" fontId="30" fillId="12" borderId="14" xfId="19" applyFont="1" applyFill="1" applyBorder="1" applyAlignment="1">
      <alignment horizontal="center" vertical="center" wrapText="1"/>
    </xf>
    <xf numFmtId="0" fontId="30" fillId="12" borderId="15" xfId="19" applyFont="1" applyFill="1" applyBorder="1" applyAlignment="1">
      <alignment horizontal="center" vertical="center" wrapText="1"/>
    </xf>
    <xf numFmtId="0" fontId="24" fillId="22" borderId="11" xfId="19" applyFont="1" applyFill="1" applyBorder="1" applyAlignment="1">
      <alignment horizontal="right" vertical="center" wrapText="1"/>
    </xf>
    <xf numFmtId="0" fontId="24" fillId="22" borderId="12" xfId="19" applyFont="1" applyFill="1" applyBorder="1" applyAlignment="1">
      <alignment horizontal="right" vertical="center" wrapText="1"/>
    </xf>
    <xf numFmtId="0" fontId="37" fillId="32" borderId="37" xfId="0" applyFont="1" applyFill="1" applyBorder="1">
      <alignment horizontal="center" vertical="center"/>
    </xf>
    <xf numFmtId="0" fontId="37" fillId="32" borderId="38" xfId="0" applyFont="1" applyFill="1" applyBorder="1">
      <alignment horizontal="center" vertical="center"/>
    </xf>
    <xf numFmtId="0" fontId="37" fillId="32" borderId="39" xfId="0" applyFont="1" applyFill="1" applyBorder="1">
      <alignment horizontal="center" vertical="center"/>
    </xf>
    <xf numFmtId="0" fontId="34" fillId="23" borderId="11" xfId="0"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23" xfId="0" applyFont="1" applyFill="1" applyBorder="1" applyAlignment="1">
      <alignment horizontal="center" vertical="center" wrapText="1"/>
    </xf>
    <xf numFmtId="0" fontId="48" fillId="23" borderId="12" xfId="0" applyFont="1" applyFill="1" applyBorder="1" applyAlignment="1">
      <alignment horizontal="left" vertical="center"/>
    </xf>
    <xf numFmtId="0" fontId="48" fillId="23" borderId="23" xfId="0" applyFont="1" applyFill="1" applyBorder="1" applyAlignment="1">
      <alignment horizontal="left" vertical="center"/>
    </xf>
    <xf numFmtId="0" fontId="45" fillId="46" borderId="43" xfId="0" applyFont="1" applyFill="1" applyBorder="1">
      <alignment horizontal="center" vertical="center"/>
    </xf>
    <xf numFmtId="0" fontId="45" fillId="46" borderId="12" xfId="0" applyFont="1" applyFill="1" applyBorder="1">
      <alignment horizontal="center" vertical="center"/>
    </xf>
    <xf numFmtId="0" fontId="45" fillId="46" borderId="42" xfId="0" applyFont="1" applyFill="1" applyBorder="1">
      <alignment horizontal="center" vertical="center"/>
    </xf>
    <xf numFmtId="0" fontId="56" fillId="0" borderId="13" xfId="22" applyFont="1" applyBorder="1" applyAlignment="1">
      <alignment horizontal="left" vertical="center" wrapText="1"/>
    </xf>
    <xf numFmtId="0" fontId="56" fillId="0" borderId="14" xfId="22" applyFont="1" applyBorder="1" applyAlignment="1">
      <alignment horizontal="left" vertical="center" wrapText="1"/>
    </xf>
    <xf numFmtId="0" fontId="56" fillId="0" borderId="15" xfId="22" applyFont="1" applyBorder="1" applyAlignment="1">
      <alignment horizontal="left" vertical="center" wrapText="1"/>
    </xf>
    <xf numFmtId="0" fontId="52" fillId="23" borderId="0" xfId="22" applyFont="1" applyFill="1" applyAlignment="1">
      <alignment horizontal="left" vertical="center"/>
    </xf>
    <xf numFmtId="0" fontId="54" fillId="49" borderId="44" xfId="22" applyFont="1" applyFill="1" applyBorder="1" applyAlignment="1">
      <alignment horizontal="center" vertical="center"/>
    </xf>
    <xf numFmtId="0" fontId="22" fillId="49" borderId="48" xfId="22" applyFont="1" applyFill="1" applyBorder="1" applyAlignment="1">
      <alignment horizontal="center" vertical="center"/>
    </xf>
    <xf numFmtId="0" fontId="22" fillId="49" borderId="51" xfId="22" applyFont="1" applyFill="1" applyBorder="1" applyAlignment="1">
      <alignment horizontal="center" vertical="center"/>
    </xf>
    <xf numFmtId="0" fontId="22" fillId="49" borderId="52" xfId="22" applyFont="1" applyFill="1" applyBorder="1" applyAlignment="1">
      <alignment horizontal="center" vertical="center"/>
    </xf>
    <xf numFmtId="0" fontId="55" fillId="27" borderId="49" xfId="22" applyFont="1" applyFill="1" applyBorder="1" applyAlignment="1">
      <alignment horizontal="center" vertical="center"/>
    </xf>
    <xf numFmtId="0" fontId="55" fillId="27" borderId="12" xfId="22" applyFont="1" applyFill="1" applyBorder="1" applyAlignment="1">
      <alignment horizontal="center" vertical="center"/>
    </xf>
    <xf numFmtId="0" fontId="55" fillId="27" borderId="50" xfId="22" applyFont="1" applyFill="1" applyBorder="1" applyAlignment="1">
      <alignment horizontal="center" vertical="center"/>
    </xf>
    <xf numFmtId="0" fontId="55" fillId="27" borderId="54" xfId="22" applyFont="1" applyFill="1" applyBorder="1" applyAlignment="1">
      <alignment horizontal="center" vertical="center" textRotation="90"/>
    </xf>
    <xf numFmtId="0" fontId="55" fillId="27" borderId="55" xfId="22" applyFont="1" applyFill="1" applyBorder="1" applyAlignment="1">
      <alignment horizontal="center" vertical="center" textRotation="90"/>
    </xf>
    <xf numFmtId="0" fontId="55" fillId="27" borderId="56" xfId="22" applyFont="1" applyFill="1" applyBorder="1" applyAlignment="1">
      <alignment horizontal="center" vertical="center" textRotation="90"/>
    </xf>
    <xf numFmtId="0" fontId="45" fillId="27" borderId="13" xfId="22" applyFont="1" applyFill="1" applyBorder="1" applyAlignment="1">
      <alignment horizontal="center" vertical="center" wrapText="1"/>
    </xf>
    <xf numFmtId="0" fontId="45" fillId="27" borderId="14" xfId="22" applyFont="1" applyFill="1" applyBorder="1" applyAlignment="1">
      <alignment horizontal="center" vertical="center" wrapText="1"/>
    </xf>
    <xf numFmtId="0" fontId="45" fillId="27" borderId="15" xfId="22" applyFont="1" applyFill="1" applyBorder="1" applyAlignment="1">
      <alignment horizontal="center" vertical="center" wrapText="1"/>
    </xf>
    <xf numFmtId="0" fontId="45" fillId="37" borderId="17" xfId="22" applyFont="1" applyFill="1" applyBorder="1" applyAlignment="1">
      <alignment horizontal="center" vertical="center" wrapText="1"/>
    </xf>
    <xf numFmtId="0" fontId="45" fillId="37" borderId="57" xfId="22" applyFont="1" applyFill="1" applyBorder="1" applyAlignment="1">
      <alignment horizontal="center" vertical="center" wrapText="1"/>
    </xf>
    <xf numFmtId="0" fontId="45" fillId="37" borderId="6" xfId="22" applyFont="1" applyFill="1" applyBorder="1" applyAlignment="1">
      <alignment horizontal="center" vertical="center" wrapText="1"/>
    </xf>
    <xf numFmtId="0" fontId="37" fillId="32" borderId="0" xfId="0" applyFont="1" applyFill="1" applyAlignment="1">
      <alignment horizontal="center"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color theme="0"/>
      </font>
      <fill>
        <patternFill>
          <bgColor rgb="FF00B050"/>
        </patternFill>
      </fill>
    </dxf>
    <dxf>
      <font>
        <b val="0"/>
        <i val="0"/>
      </font>
      <fill>
        <patternFill patternType="gray0625">
          <fgColor rgb="FF00B050"/>
          <bgColor rgb="FFFFFF00"/>
        </patternFill>
      </fill>
    </dxf>
    <dxf>
      <fill>
        <patternFill patternType="gray0625">
          <fgColor rgb="FFFF0000"/>
          <bgColor rgb="FFFFC000"/>
        </patternFill>
      </fill>
    </dxf>
    <dxf>
      <font>
        <color auto="1"/>
      </font>
      <fill>
        <patternFill>
          <bgColor rgb="FFFF000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ill>
        <patternFill>
          <bgColor rgb="FFFF0000"/>
        </patternFill>
      </fill>
    </dxf>
    <dxf>
      <fill>
        <patternFill patternType="gray0625">
          <fgColor rgb="FFFF0000"/>
          <bgColor rgb="FFFFC000"/>
        </patternFill>
      </fill>
    </dxf>
    <dxf>
      <fill>
        <patternFill patternType="gray0625">
          <fgColor rgb="FFFF0000"/>
          <bgColor rgb="FFFFC000"/>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b val="0"/>
        <i val="0"/>
      </font>
      <fill>
        <patternFill patternType="gray0625">
          <fgColor rgb="FF00B050"/>
          <bgColor rgb="FFFFFF00"/>
        </patternFill>
      </fill>
    </dxf>
    <dxf>
      <font>
        <color auto="1"/>
      </font>
      <fill>
        <patternFill>
          <bgColor rgb="FFFF0000"/>
        </patternFill>
      </fill>
    </dxf>
    <dxf>
      <font>
        <color theme="0"/>
      </font>
      <fill>
        <patternFill>
          <bgColor rgb="FF00B05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ont>
        <color theme="1"/>
      </font>
      <fill>
        <patternFill patternType="gray125">
          <fgColor indexed="9"/>
          <bgColor indexed="17"/>
        </patternFill>
      </fill>
    </dxf>
    <dxf>
      <font>
        <color theme="1"/>
      </font>
      <fill>
        <patternFill>
          <bgColor rgb="FF008000"/>
        </patternFill>
      </fill>
    </dxf>
    <dxf>
      <font>
        <b val="0"/>
        <i val="0"/>
      </font>
      <fill>
        <patternFill patternType="gray0625">
          <fgColor rgb="FF00B050"/>
          <bgColor rgb="FFFFFF00"/>
        </patternFill>
      </fill>
    </dxf>
    <dxf>
      <fill>
        <patternFill patternType="gray0625">
          <fgColor rgb="FF008000"/>
          <bgColor rgb="FFFFFF66"/>
        </patternFill>
      </fill>
    </dxf>
    <dxf>
      <fill>
        <patternFill>
          <bgColor rgb="FFFF0000"/>
        </patternFill>
      </fill>
    </dxf>
    <dxf>
      <fill>
        <patternFill patternType="lightGray">
          <fgColor indexed="10"/>
          <bgColor indexed="13"/>
        </patternFill>
      </fill>
    </dxf>
    <dxf>
      <fill>
        <patternFill patternType="lightGray">
          <fgColor indexed="11"/>
          <bgColor indexed="13"/>
        </patternFill>
      </fill>
    </dxf>
    <dxf>
      <font>
        <color rgb="FF000D26"/>
      </font>
      <fill>
        <patternFill patternType="gray125">
          <fgColor indexed="9"/>
          <bgColor indexed="17"/>
        </patternFill>
      </fill>
    </dxf>
    <dxf>
      <font>
        <color theme="1"/>
      </font>
      <fill>
        <patternFill>
          <bgColor rgb="FF00B050"/>
        </patternFill>
      </fill>
    </dxf>
    <dxf>
      <fill>
        <patternFill patternType="gray0625">
          <fgColor rgb="FFFF0000"/>
          <bgColor rgb="FFFFC000"/>
        </patternFill>
      </fill>
    </dxf>
    <dxf>
      <fill>
        <patternFill patternType="gray0625">
          <fgColor rgb="FFFF0000"/>
          <bgColor rgb="FFFFC000"/>
        </patternFill>
      </fill>
    </dxf>
    <dxf>
      <font>
        <color auto="1"/>
      </font>
      <fill>
        <patternFill>
          <bgColor rgb="FFFF0000"/>
        </patternFill>
      </fill>
    </dxf>
    <dxf>
      <font>
        <color rgb="FF000D26"/>
      </font>
      <fill>
        <patternFill>
          <bgColor rgb="FF00B050"/>
        </patternFill>
      </fill>
    </dxf>
    <dxf>
      <fill>
        <patternFill patternType="gray125">
          <fgColor indexed="10"/>
          <bgColor indexed="51"/>
        </patternFill>
      </fill>
    </dxf>
    <dxf>
      <fill>
        <patternFill patternType="gray125">
          <fgColor indexed="57"/>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rgb="FF00B050"/>
        </patternFill>
      </fill>
    </dxf>
    <dxf>
      <fill>
        <patternFill>
          <bgColor theme="5"/>
        </patternFill>
      </fill>
    </dxf>
    <dxf>
      <fill>
        <patternFill>
          <bgColor rgb="FFFF000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r>
              <a:rPr lang="en-US">
                <a:solidFill>
                  <a:schemeClr val="accent2">
                    <a:lumMod val="75000"/>
                    <a:alpha val="96000"/>
                  </a:schemeClr>
                </a:solidFill>
              </a:rPr>
              <a:t>The Maturity Gap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endParaRPr lang="en-US"/>
        </a:p>
      </c:txPr>
    </c:title>
    <c:autoTitleDeleted val="0"/>
    <c:plotArea>
      <c:layout>
        <c:manualLayout>
          <c:layoutTarget val="inner"/>
          <c:xMode val="edge"/>
          <c:yMode val="edge"/>
          <c:x val="6.7041017683008602E-2"/>
          <c:y val="0.39164289060444463"/>
          <c:w val="0.82838055826963231"/>
          <c:h val="0.29890379839439385"/>
        </c:manualLayout>
      </c:layout>
      <c:barChart>
        <c:barDir val="col"/>
        <c:grouping val="clustered"/>
        <c:varyColors val="0"/>
        <c:ser>
          <c:idx val="0"/>
          <c:order val="0"/>
          <c:spPr>
            <a:solidFill>
              <a:srgbClr val="00B05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'Security Posture (ISO27001)'!$C$1:$C$20</c:f>
              <c:strCache>
                <c:ptCount val="20"/>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strCache>
            </c:strRef>
          </c:cat>
          <c:val>
            <c:numRef>
              <c:f>'Security Posture (ISO27001)'!$F$1:$F$20</c:f>
              <c:numCache>
                <c:formatCode>0.0</c:formatCode>
                <c:ptCount val="20"/>
                <c:pt idx="1">
                  <c:v>-0.5</c:v>
                </c:pt>
                <c:pt idx="2">
                  <c:v>1</c:v>
                </c:pt>
                <c:pt idx="3">
                  <c:v>1</c:v>
                </c:pt>
                <c:pt idx="4">
                  <c:v>0.53846153846153844</c:v>
                </c:pt>
                <c:pt idx="5">
                  <c:v>0.5</c:v>
                </c:pt>
                <c:pt idx="6">
                  <c:v>-1.4285714285714286</c:v>
                </c:pt>
                <c:pt idx="7">
                  <c:v>-1.3333333333333333</c:v>
                </c:pt>
                <c:pt idx="8">
                  <c:v>-1.5</c:v>
                </c:pt>
                <c:pt idx="9">
                  <c:v>-1.6428571428571428</c:v>
                </c:pt>
                <c:pt idx="10">
                  <c:v>-2</c:v>
                </c:pt>
                <c:pt idx="11">
                  <c:v>-2.2666666666666666</c:v>
                </c:pt>
                <c:pt idx="12">
                  <c:v>-1.5</c:v>
                </c:pt>
                <c:pt idx="13">
                  <c:v>-1.7142857142857142</c:v>
                </c:pt>
                <c:pt idx="14">
                  <c:v>-2.2307692307692308</c:v>
                </c:pt>
                <c:pt idx="15">
                  <c:v>-2</c:v>
                </c:pt>
                <c:pt idx="16">
                  <c:v>-2</c:v>
                </c:pt>
                <c:pt idx="17">
                  <c:v>-1.75</c:v>
                </c:pt>
                <c:pt idx="18">
                  <c:v>-1.75</c:v>
                </c:pt>
                <c:pt idx="19">
                  <c:v>-1.1432234432234434</c:v>
                </c:pt>
              </c:numCache>
            </c:numRef>
          </c:val>
          <c:extLst>
            <c:ext xmlns:c14="http://schemas.microsoft.com/office/drawing/2007/8/2/chart" uri="{6F2FDCE9-48DA-4B69-8628-5D25D57E5C99}">
              <c14:invertSolidFillFmt>
                <c14:spPr xmlns:c14="http://schemas.microsoft.com/office/drawing/2007/8/2/chart">
                  <a:solidFill>
                    <a:srgbClr val="FFC00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781920464"/>
        <c:crossesAt val="1"/>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Current Level</c:v>
          </c:tx>
          <c:spPr>
            <a:gradFill>
              <a:gsLst>
                <a:gs pos="0">
                  <a:srgbClr val="002060"/>
                </a:gs>
                <a:gs pos="100000">
                  <a:srgbClr val="002060"/>
                </a:gs>
              </a:gsLst>
              <a:lin ang="0" scaled="1"/>
            </a:gradFill>
            <a:ln w="9525" cap="flat" cmpd="sng" algn="ctr">
              <a:solidFill>
                <a:schemeClr val="accent1">
                  <a:lumMod val="75000"/>
                </a:schemeClr>
              </a:solidFill>
              <a:round/>
            </a:ln>
            <a:effectLst/>
          </c:spPr>
          <c:invertIfNegative val="0"/>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(ISO27001)'!$D$1:$D$20</c:f>
              <c:numCache>
                <c:formatCode>0.0</c:formatCode>
                <c:ptCount val="20"/>
                <c:pt idx="1">
                  <c:v>3.5</c:v>
                </c:pt>
                <c:pt idx="2">
                  <c:v>5</c:v>
                </c:pt>
                <c:pt idx="3">
                  <c:v>5</c:v>
                </c:pt>
                <c:pt idx="4">
                  <c:v>4.5384615384615383</c:v>
                </c:pt>
                <c:pt idx="5">
                  <c:v>4.5</c:v>
                </c:pt>
                <c:pt idx="6">
                  <c:v>2.5714285714285716</c:v>
                </c:pt>
                <c:pt idx="7">
                  <c:v>2.6666666666666665</c:v>
                </c:pt>
                <c:pt idx="8">
                  <c:v>2.5</c:v>
                </c:pt>
                <c:pt idx="9">
                  <c:v>2.3571428571428572</c:v>
                </c:pt>
                <c:pt idx="10">
                  <c:v>2</c:v>
                </c:pt>
                <c:pt idx="11">
                  <c:v>1.7333333333333334</c:v>
                </c:pt>
                <c:pt idx="12">
                  <c:v>2.5</c:v>
                </c:pt>
                <c:pt idx="13">
                  <c:v>2.2857142857142856</c:v>
                </c:pt>
                <c:pt idx="14">
                  <c:v>1.7692307692307692</c:v>
                </c:pt>
                <c:pt idx="15">
                  <c:v>2</c:v>
                </c:pt>
                <c:pt idx="16">
                  <c:v>2</c:v>
                </c:pt>
                <c:pt idx="17">
                  <c:v>2.25</c:v>
                </c:pt>
                <c:pt idx="18">
                  <c:v>2.25</c:v>
                </c:pt>
                <c:pt idx="19">
                  <c:v>2.8567765567765568</c:v>
                </c:pt>
              </c:numCache>
            </c:numRef>
          </c:val>
          <c:extLst>
            <c:ext xmlns:c16="http://schemas.microsoft.com/office/drawing/2014/chart" uri="{C3380CC4-5D6E-409C-BE32-E72D297353CC}">
              <c16:uniqueId val="{00000000-0EC9-4F19-8BC0-22B2499AECA6}"/>
            </c:ext>
          </c:extLst>
        </c:ser>
        <c:ser>
          <c:idx val="1"/>
          <c:order val="1"/>
          <c:tx>
            <c:v>Target Level</c:v>
          </c:tx>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invertIfNegative val="0"/>
          <c:dPt>
            <c:idx val="18"/>
            <c:invertIfNegative val="0"/>
            <c:bubble3D val="0"/>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extLst>
              <c:ext xmlns:c16="http://schemas.microsoft.com/office/drawing/2014/chart" uri="{C3380CC4-5D6E-409C-BE32-E72D297353CC}">
                <c16:uniqueId val="{00000002-0EC9-4F19-8BC0-22B2499AECA6}"/>
              </c:ext>
            </c:extLst>
          </c:dPt>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(ISO27001)'!$E$1:$E$20</c:f>
              <c:numCache>
                <c:formatCode>0.0</c:formatCode>
                <c:ptCount val="20"/>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0EC9-4F19-8BC0-22B2499AECA6}"/>
            </c:ext>
          </c:extLst>
        </c:ser>
        <c:dLbls>
          <c:showLegendKey val="0"/>
          <c:showVal val="0"/>
          <c:showCatName val="0"/>
          <c:showSerName val="0"/>
          <c:showPercent val="0"/>
          <c:showBubbleSize val="0"/>
        </c:dLbls>
        <c:gapWidth val="65"/>
        <c:axId val="710395240"/>
        <c:axId val="710395568"/>
      </c:barChart>
      <c:catAx>
        <c:axId val="710395240"/>
        <c:scaling>
          <c:orientation val="minMax"/>
        </c:scaling>
        <c:delete val="0"/>
        <c:axPos val="b"/>
        <c:numFmt formatCode="General" sourceLinked="1"/>
        <c:majorTickMark val="out"/>
        <c:minorTickMark val="none"/>
        <c:tickLblPos val="nextTo"/>
        <c:spPr>
          <a:noFill/>
          <a:ln w="19050" cap="flat" cmpd="sng" algn="ctr">
            <a:no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10395568"/>
        <c:crossesAt val="0"/>
        <c:auto val="1"/>
        <c:lblAlgn val="ctr"/>
        <c:lblOffset val="100"/>
        <c:noMultiLvlLbl val="1"/>
      </c:catAx>
      <c:valAx>
        <c:axId val="7103955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10395240"/>
        <c:crosses val="autoZero"/>
        <c:crossBetween val="between"/>
        <c:majorUnit val="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r>
              <a:rPr lang="en-GB">
                <a:solidFill>
                  <a:schemeClr val="accent5">
                    <a:lumMod val="75000"/>
                    <a:alpha val="96000"/>
                  </a:schemeClr>
                </a:solidFill>
              </a:rPr>
              <a:t>Maturity Gap</a:t>
            </a:r>
          </a:p>
          <a:p>
            <a:pPr>
              <a:defRPr>
                <a:solidFill>
                  <a:schemeClr val="accent5">
                    <a:lumMod val="75000"/>
                    <a:alpha val="96000"/>
                  </a:schemeClr>
                </a:solidFill>
              </a:defRPr>
            </a:pPr>
            <a:endParaRPr lang="en-GB">
              <a:solidFill>
                <a:schemeClr val="accent5">
                  <a:lumMod val="75000"/>
                  <a:alpha val="96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endParaRPr lang="en-US"/>
        </a:p>
      </c:txPr>
    </c:title>
    <c:autoTitleDeleted val="0"/>
    <c:plotArea>
      <c:layout>
        <c:manualLayout>
          <c:layoutTarget val="inner"/>
          <c:xMode val="edge"/>
          <c:yMode val="edge"/>
          <c:x val="0.22426200787401576"/>
          <c:y val="0.2754350963364306"/>
          <c:w val="0.70159685039370068"/>
          <c:h val="0.33615084689976454"/>
        </c:manualLayout>
      </c:layout>
      <c:barChart>
        <c:barDir val="col"/>
        <c:grouping val="clustered"/>
        <c:varyColors val="0"/>
        <c:ser>
          <c:idx val="0"/>
          <c:order val="0"/>
          <c:tx>
            <c:strRef>
              <c:f>'CRF Security Posture'!$D$2</c:f>
              <c:strCache>
                <c:ptCount val="1"/>
                <c:pt idx="0">
                  <c:v>Maturity Gap</c:v>
                </c:pt>
              </c:strCache>
            </c:strRef>
          </c:tx>
          <c:spPr>
            <a:solidFill>
              <a:srgbClr val="FFC00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'CRF Security Posture'!$A$3:$A$20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Mean Maturity Scores</c:v>
                </c:pt>
              </c:strCache>
            </c:strRef>
          </c:cat>
          <c:val>
            <c:numRef>
              <c:f>'CRF Security Posture'!$D$3:$D$20</c:f>
              <c:numCache>
                <c:formatCode>0.00</c:formatCode>
                <c:ptCount val="18"/>
                <c:pt idx="0">
                  <c:v>-0.4</c:v>
                </c:pt>
                <c:pt idx="1">
                  <c:v>-1.5</c:v>
                </c:pt>
                <c:pt idx="2">
                  <c:v>-1.75</c:v>
                </c:pt>
                <c:pt idx="3">
                  <c:v>-1.6666666666666667</c:v>
                </c:pt>
                <c:pt idx="4">
                  <c:v>0.66666666666666663</c:v>
                </c:pt>
                <c:pt idx="5">
                  <c:v>-0.8</c:v>
                </c:pt>
                <c:pt idx="6">
                  <c:v>2</c:v>
                </c:pt>
                <c:pt idx="7">
                  <c:v>-0.25</c:v>
                </c:pt>
                <c:pt idx="8">
                  <c:v>-0.5</c:v>
                </c:pt>
                <c:pt idx="9">
                  <c:v>-2</c:v>
                </c:pt>
                <c:pt idx="10">
                  <c:v>-2</c:v>
                </c:pt>
                <c:pt idx="11">
                  <c:v>-0.75</c:v>
                </c:pt>
                <c:pt idx="12">
                  <c:v>-1</c:v>
                </c:pt>
                <c:pt idx="13">
                  <c:v>-0.6</c:v>
                </c:pt>
                <c:pt idx="14">
                  <c:v>2</c:v>
                </c:pt>
                <c:pt idx="15">
                  <c:v>0.5</c:v>
                </c:pt>
                <c:pt idx="16">
                  <c:v>-1</c:v>
                </c:pt>
                <c:pt idx="17">
                  <c:v>-0.63157894736842124</c:v>
                </c:pt>
              </c:numCache>
            </c:numRef>
          </c:val>
          <c:extLst>
            <c:ext xmlns:c14="http://schemas.microsoft.com/office/drawing/2007/8/2/chart" uri="{6F2FDCE9-48DA-4B69-8628-5D25D57E5C99}">
              <c14:invertSolidFillFmt>
                <c14:spPr xmlns:c14="http://schemas.microsoft.com/office/drawing/2007/8/2/chart">
                  <a:solidFill>
                    <a:srgbClr val="00B05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781920464"/>
        <c:crossesAt val="1"/>
        <c:crossBetween val="between"/>
      </c:valAx>
      <c:spPr>
        <a:noFill/>
        <a:ln>
          <a:noFill/>
        </a:ln>
        <a:effectLst/>
      </c:spPr>
    </c:plotArea>
    <c:legend>
      <c:legendPos val="b"/>
      <c:layout>
        <c:manualLayout>
          <c:xMode val="edge"/>
          <c:yMode val="edge"/>
          <c:x val="0.44959589215936535"/>
          <c:y val="0.92554017932546495"/>
          <c:w val="0.17562118326231668"/>
          <c:h val="5.49294767482541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alpha val="96000"/>
                </a:schemeClr>
              </a:solidFill>
              <a:latin typeface="+mn-lt"/>
              <a:ea typeface="+mn-ea"/>
              <a:cs typeface="+mn-cs"/>
            </a:defRPr>
          </a:pPr>
          <a:endParaRPr lang="en-US"/>
        </a:p>
      </c:txPr>
    </c:legend>
    <c:plotVisOnly val="1"/>
    <c:dispBlanksAs val="gap"/>
    <c:showDLblsOverMax val="0"/>
  </c:chart>
  <c:spPr>
    <a:solidFill>
      <a:srgbClr val="79A8A4">
        <a:lumMod val="20000"/>
        <a:lumOff val="80000"/>
      </a:srgbClr>
    </a:solidFill>
    <a:ln w="63500" cap="flat" cmpd="sng" algn="ctr">
      <a:solidFill>
        <a:srgbClr val="DEC18C"/>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Summary'!$H$1:$H$2</c:f>
              <c:strCache>
                <c:ptCount val="2"/>
                <c:pt idx="1">
                  <c:v>Improvement</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Summary'!$H$3:$H$20</c:f>
              <c:numCache>
                <c:formatCode>0.0</c:formatCode>
                <c:ptCount val="18"/>
                <c:pt idx="0">
                  <c:v>2.8</c:v>
                </c:pt>
                <c:pt idx="1">
                  <c:v>1.5</c:v>
                </c:pt>
                <c:pt idx="2">
                  <c:v>3</c:v>
                </c:pt>
                <c:pt idx="3">
                  <c:v>0</c:v>
                </c:pt>
                <c:pt idx="4">
                  <c:v>0.50000000000000022</c:v>
                </c:pt>
                <c:pt idx="5">
                  <c:v>0.39999999999999991</c:v>
                </c:pt>
                <c:pt idx="6">
                  <c:v>0</c:v>
                </c:pt>
                <c:pt idx="7">
                  <c:v>0</c:v>
                </c:pt>
                <c:pt idx="8">
                  <c:v>0.75</c:v>
                </c:pt>
                <c:pt idx="9">
                  <c:v>0.5</c:v>
                </c:pt>
                <c:pt idx="10">
                  <c:v>0</c:v>
                </c:pt>
                <c:pt idx="11">
                  <c:v>0</c:v>
                </c:pt>
                <c:pt idx="12">
                  <c:v>0.4444444444444442</c:v>
                </c:pt>
                <c:pt idx="13">
                  <c:v>0.80000000000000027</c:v>
                </c:pt>
                <c:pt idx="14">
                  <c:v>0</c:v>
                </c:pt>
                <c:pt idx="15">
                  <c:v>2</c:v>
                </c:pt>
                <c:pt idx="16">
                  <c:v>0.66666666666666652</c:v>
                </c:pt>
                <c:pt idx="17">
                  <c:v>0.85526315789473717</c:v>
                </c:pt>
              </c:numCache>
            </c:numRef>
          </c:val>
          <c:extLst>
            <c:ext xmlns:c16="http://schemas.microsoft.com/office/drawing/2014/chart" uri="{C3380CC4-5D6E-409C-BE32-E72D297353CC}">
              <c16:uniqueId val="{00000000-33CD-49DA-9C48-AADA8E5D5A42}"/>
            </c:ext>
          </c:extLst>
        </c:ser>
        <c:dLbls>
          <c:showLegendKey val="0"/>
          <c:showVal val="0"/>
          <c:showCatName val="0"/>
          <c:showSerName val="0"/>
          <c:showPercent val="0"/>
          <c:showBubbleSize val="0"/>
        </c:dLbls>
        <c:gapWidth val="219"/>
        <c:overlap val="-27"/>
        <c:axId val="1172542416"/>
        <c:axId val="1172548240"/>
      </c:barChart>
      <c:catAx>
        <c:axId val="1172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8240"/>
        <c:crosses val="autoZero"/>
        <c:auto val="1"/>
        <c:lblAlgn val="ctr"/>
        <c:lblOffset val="100"/>
        <c:noMultiLvlLbl val="0"/>
      </c:catAx>
      <c:valAx>
        <c:axId val="1172548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 Posture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Summary'!$C$1:$C$2</c:f>
              <c:strCache>
                <c:ptCount val="2"/>
                <c:pt idx="1">
                  <c:v>Control: Maturity Score Baseline</c:v>
                </c:pt>
              </c:strCache>
            </c:strRef>
          </c:tx>
          <c:spPr>
            <a:solidFill>
              <a:srgbClr val="00206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Summary'!$C$3:$C$20</c:f>
              <c:numCache>
                <c:formatCode>0.0</c:formatCode>
                <c:ptCount val="18"/>
                <c:pt idx="0">
                  <c:v>0.6</c:v>
                </c:pt>
                <c:pt idx="1">
                  <c:v>3</c:v>
                </c:pt>
                <c:pt idx="2">
                  <c:v>1.75</c:v>
                </c:pt>
                <c:pt idx="3">
                  <c:v>4.666666666666667</c:v>
                </c:pt>
                <c:pt idx="4">
                  <c:v>1.8333333333333333</c:v>
                </c:pt>
                <c:pt idx="5">
                  <c:v>3.4</c:v>
                </c:pt>
                <c:pt idx="6">
                  <c:v>1</c:v>
                </c:pt>
                <c:pt idx="7">
                  <c:v>3.25</c:v>
                </c:pt>
                <c:pt idx="8">
                  <c:v>2.75</c:v>
                </c:pt>
                <c:pt idx="9">
                  <c:v>4.5</c:v>
                </c:pt>
                <c:pt idx="10">
                  <c:v>5</c:v>
                </c:pt>
                <c:pt idx="11">
                  <c:v>3.75</c:v>
                </c:pt>
                <c:pt idx="12">
                  <c:v>3.4444444444444446</c:v>
                </c:pt>
                <c:pt idx="13">
                  <c:v>2.8</c:v>
                </c:pt>
                <c:pt idx="14">
                  <c:v>1</c:v>
                </c:pt>
                <c:pt idx="15">
                  <c:v>0.5</c:v>
                </c:pt>
                <c:pt idx="16">
                  <c:v>3.3333333333333335</c:v>
                </c:pt>
                <c:pt idx="17">
                  <c:v>2.7763157894736841</c:v>
                </c:pt>
              </c:numCache>
            </c:numRef>
          </c:val>
          <c:extLst>
            <c:ext xmlns:c16="http://schemas.microsoft.com/office/drawing/2014/chart" uri="{C3380CC4-5D6E-409C-BE32-E72D297353CC}">
              <c16:uniqueId val="{00000000-3E6D-433D-99C6-5279ECA89A94}"/>
            </c:ext>
          </c:extLst>
        </c:ser>
        <c:ser>
          <c:idx val="1"/>
          <c:order val="1"/>
          <c:tx>
            <c:strRef>
              <c:f>'Category Summary'!$D$1:$D$2</c:f>
              <c:strCache>
                <c:ptCount val="2"/>
                <c:pt idx="1">
                  <c:v>Current Maturity Score</c:v>
                </c:pt>
              </c:strCache>
            </c:strRef>
          </c:tx>
          <c:spPr>
            <a:solidFill>
              <a:schemeClr val="accent5">
                <a:lumMod val="75000"/>
              </a:schemeClr>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Summary'!$D$3:$D$20</c:f>
              <c:numCache>
                <c:formatCode>0.0</c:formatCode>
                <c:ptCount val="18"/>
                <c:pt idx="0">
                  <c:v>3.4</c:v>
                </c:pt>
                <c:pt idx="1">
                  <c:v>4.5</c:v>
                </c:pt>
                <c:pt idx="2">
                  <c:v>4.75</c:v>
                </c:pt>
                <c:pt idx="3">
                  <c:v>4.666666666666667</c:v>
                </c:pt>
                <c:pt idx="4">
                  <c:v>2.3333333333333335</c:v>
                </c:pt>
                <c:pt idx="5">
                  <c:v>3.8</c:v>
                </c:pt>
                <c:pt idx="6">
                  <c:v>1</c:v>
                </c:pt>
                <c:pt idx="7">
                  <c:v>3.25</c:v>
                </c:pt>
                <c:pt idx="8">
                  <c:v>3.5</c:v>
                </c:pt>
                <c:pt idx="9">
                  <c:v>5</c:v>
                </c:pt>
                <c:pt idx="10">
                  <c:v>5</c:v>
                </c:pt>
                <c:pt idx="11">
                  <c:v>3.75</c:v>
                </c:pt>
                <c:pt idx="12">
                  <c:v>3.8888888888888888</c:v>
                </c:pt>
                <c:pt idx="13">
                  <c:v>3.6</c:v>
                </c:pt>
                <c:pt idx="14">
                  <c:v>1</c:v>
                </c:pt>
                <c:pt idx="15">
                  <c:v>2.5</c:v>
                </c:pt>
                <c:pt idx="16">
                  <c:v>4</c:v>
                </c:pt>
                <c:pt idx="17">
                  <c:v>3.6315789473684212</c:v>
                </c:pt>
              </c:numCache>
            </c:numRef>
          </c:val>
          <c:extLst>
            <c:ext xmlns:c16="http://schemas.microsoft.com/office/drawing/2014/chart" uri="{C3380CC4-5D6E-409C-BE32-E72D297353CC}">
              <c16:uniqueId val="{00000001-3E6D-433D-99C6-5279ECA89A94}"/>
            </c:ext>
          </c:extLst>
        </c:ser>
        <c:ser>
          <c:idx val="2"/>
          <c:order val="2"/>
          <c:tx>
            <c:strRef>
              <c:f>'Category Summary'!$E$1:$E$2</c:f>
              <c:strCache>
                <c:ptCount val="2"/>
                <c:pt idx="1">
                  <c:v>Target Maturity Score</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Summary'!$E$3:$E$20</c:f>
              <c:numCache>
                <c:formatCode>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c:ext xmlns:c16="http://schemas.microsoft.com/office/drawing/2014/chart" uri="{C3380CC4-5D6E-409C-BE32-E72D297353CC}">
              <c16:uniqueId val="{00000002-3E6D-433D-99C6-5279ECA89A94}"/>
            </c:ext>
          </c:extLst>
        </c:ser>
        <c:dLbls>
          <c:showLegendKey val="0"/>
          <c:showVal val="0"/>
          <c:showCatName val="0"/>
          <c:showSerName val="0"/>
          <c:showPercent val="0"/>
          <c:showBubbleSize val="0"/>
        </c:dLbls>
        <c:gapWidth val="59"/>
        <c:overlap val="-27"/>
        <c:axId val="1186628815"/>
        <c:axId val="1186629231"/>
      </c:barChart>
      <c:catAx>
        <c:axId val="118662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9231"/>
        <c:crosses val="autoZero"/>
        <c:auto val="1"/>
        <c:lblAlgn val="ctr"/>
        <c:lblOffset val="100"/>
        <c:noMultiLvlLbl val="0"/>
      </c:catAx>
      <c:valAx>
        <c:axId val="118662923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881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CRF</a:t>
            </a:r>
            <a:r>
              <a:rPr lang="en-GB" baseline="0"/>
              <a:t> Risk View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radarChart>
        <c:radarStyle val="marker"/>
        <c:varyColors val="0"/>
        <c:ser>
          <c:idx val="0"/>
          <c:order val="0"/>
          <c:tx>
            <c:strRef>
              <c:f>'Risk Summary'!$C$1</c:f>
              <c:strCache>
                <c:ptCount val="1"/>
                <c:pt idx="0">
                  <c:v> Inherent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Summary'!$C$2:$C$18</c:f>
              <c:numCache>
                <c:formatCode>0</c:formatCode>
                <c:ptCount val="17"/>
                <c:pt idx="0" formatCode="General">
                  <c:v>25</c:v>
                </c:pt>
                <c:pt idx="1">
                  <c:v>25</c:v>
                </c:pt>
                <c:pt idx="2" formatCode="General">
                  <c:v>20</c:v>
                </c:pt>
                <c:pt idx="3" formatCode="General">
                  <c:v>15</c:v>
                </c:pt>
                <c:pt idx="4" formatCode="General">
                  <c:v>25</c:v>
                </c:pt>
                <c:pt idx="5" formatCode="General">
                  <c:v>12</c:v>
                </c:pt>
                <c:pt idx="6" formatCode="General">
                  <c:v>16</c:v>
                </c:pt>
                <c:pt idx="7">
                  <c:v>25</c:v>
                </c:pt>
                <c:pt idx="8">
                  <c:v>20</c:v>
                </c:pt>
                <c:pt idx="9">
                  <c:v>12</c:v>
                </c:pt>
                <c:pt idx="10">
                  <c:v>12</c:v>
                </c:pt>
                <c:pt idx="11">
                  <c:v>15</c:v>
                </c:pt>
                <c:pt idx="12">
                  <c:v>12</c:v>
                </c:pt>
                <c:pt idx="13">
                  <c:v>16</c:v>
                </c:pt>
                <c:pt idx="14">
                  <c:v>20</c:v>
                </c:pt>
                <c:pt idx="15">
                  <c:v>16</c:v>
                </c:pt>
                <c:pt idx="16">
                  <c:v>20</c:v>
                </c:pt>
              </c:numCache>
            </c:numRef>
          </c:val>
          <c:extLst>
            <c:ext xmlns:c16="http://schemas.microsoft.com/office/drawing/2014/chart" uri="{C3380CC4-5D6E-409C-BE32-E72D297353CC}">
              <c16:uniqueId val="{00000000-EF20-4353-BCCB-C18E9DBFA3F9}"/>
            </c:ext>
          </c:extLst>
        </c:ser>
        <c:ser>
          <c:idx val="1"/>
          <c:order val="1"/>
          <c:tx>
            <c:strRef>
              <c:f>'Risk Summary'!$D$1</c:f>
              <c:strCache>
                <c:ptCount val="1"/>
                <c:pt idx="0">
                  <c:v>Residual (Current) Risk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Summary'!$D$2:$D$18</c:f>
              <c:numCache>
                <c:formatCode>0</c:formatCode>
                <c:ptCount val="17"/>
                <c:pt idx="0">
                  <c:v>8.7065972222222214</c:v>
                </c:pt>
                <c:pt idx="1">
                  <c:v>5.5357142857142847</c:v>
                </c:pt>
                <c:pt idx="2">
                  <c:v>11.899999999999999</c:v>
                </c:pt>
                <c:pt idx="3">
                  <c:v>3.375</c:v>
                </c:pt>
                <c:pt idx="4">
                  <c:v>10.477941176470589</c:v>
                </c:pt>
                <c:pt idx="5">
                  <c:v>4.0430769230769235</c:v>
                </c:pt>
                <c:pt idx="6">
                  <c:v>13.44</c:v>
                </c:pt>
                <c:pt idx="7">
                  <c:v>9.6527777777777786</c:v>
                </c:pt>
                <c:pt idx="8">
                  <c:v>7.3928571428571432</c:v>
                </c:pt>
                <c:pt idx="9">
                  <c:v>2.4000000000000004</c:v>
                </c:pt>
                <c:pt idx="10">
                  <c:v>3</c:v>
                </c:pt>
                <c:pt idx="11">
                  <c:v>4.5438596491228083</c:v>
                </c:pt>
                <c:pt idx="12">
                  <c:v>4.2818181818181822</c:v>
                </c:pt>
                <c:pt idx="13">
                  <c:v>6.6597402597402597</c:v>
                </c:pt>
                <c:pt idx="14">
                  <c:v>15.2</c:v>
                </c:pt>
                <c:pt idx="15">
                  <c:v>8.0242424242424253</c:v>
                </c:pt>
                <c:pt idx="16">
                  <c:v>9.4400000000000013</c:v>
                </c:pt>
              </c:numCache>
            </c:numRef>
          </c:val>
          <c:extLst>
            <c:ext xmlns:c16="http://schemas.microsoft.com/office/drawing/2014/chart" uri="{C3380CC4-5D6E-409C-BE32-E72D297353CC}">
              <c16:uniqueId val="{00000001-EF20-4353-BCCB-C18E9DBFA3F9}"/>
            </c:ext>
          </c:extLst>
        </c:ser>
        <c:dLbls>
          <c:showLegendKey val="0"/>
          <c:showVal val="0"/>
          <c:showCatName val="0"/>
          <c:showSerName val="0"/>
          <c:showPercent val="0"/>
          <c:showBubbleSize val="0"/>
        </c:dLbls>
        <c:axId val="584958528"/>
        <c:axId val="584960608"/>
      </c:radarChart>
      <c:catAx>
        <c:axId val="5849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60608"/>
        <c:crosses val="autoZero"/>
        <c:auto val="1"/>
        <c:lblAlgn val="ctr"/>
        <c:lblOffset val="100"/>
        <c:noMultiLvlLbl val="0"/>
      </c:catAx>
      <c:valAx>
        <c:axId val="58496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585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r>
              <a:rPr lang="en-GB" sz="2000">
                <a:solidFill>
                  <a:schemeClr val="accent5">
                    <a:lumMod val="75000"/>
                  </a:schemeClr>
                </a:solidFill>
                <a:latin typeface="Tw Cen MT" panose="020B0602020104020603" pitchFamily="34" charset="0"/>
              </a:rPr>
              <a:t> Ten</a:t>
            </a:r>
            <a:r>
              <a:rPr lang="en-GB" sz="2000" baseline="0">
                <a:solidFill>
                  <a:schemeClr val="accent5">
                    <a:lumMod val="75000"/>
                  </a:schemeClr>
                </a:solidFill>
                <a:latin typeface="Tw Cen MT" panose="020B0602020104020603" pitchFamily="34" charset="0"/>
              </a:rPr>
              <a:t> Steps Maturity Posture</a:t>
            </a:r>
            <a:endParaRPr lang="en-GB" sz="2000">
              <a:solidFill>
                <a:schemeClr val="accent5">
                  <a:lumMod val="75000"/>
                </a:schemeClr>
              </a:solidFill>
              <a:latin typeface="Tw Cen MT" panose="020B0602020104020603"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GB"/>
        </a:p>
      </c:txPr>
    </c:title>
    <c:autoTitleDeleted val="0"/>
    <c:plotArea>
      <c:layout/>
      <c:barChart>
        <c:barDir val="col"/>
        <c:grouping val="clustered"/>
        <c:varyColors val="0"/>
        <c:ser>
          <c:idx val="0"/>
          <c:order val="0"/>
          <c:tx>
            <c:strRef>
              <c:f>'Ten Steps'!$D$1</c:f>
              <c:strCache>
                <c:ptCount val="1"/>
                <c:pt idx="0">
                  <c:v>Control: Maturity Score Baseline</c:v>
                </c:pt>
              </c:strCache>
            </c:strRef>
          </c:tx>
          <c:spPr>
            <a:solidFill>
              <a:schemeClr val="accent1"/>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Steps'!$D$2:$D$12</c:f>
              <c:numCache>
                <c:formatCode>0.0</c:formatCode>
                <c:ptCount val="11"/>
                <c:pt idx="0">
                  <c:v>3</c:v>
                </c:pt>
                <c:pt idx="1">
                  <c:v>4.666666666666667</c:v>
                </c:pt>
                <c:pt idx="2">
                  <c:v>2</c:v>
                </c:pt>
                <c:pt idx="3">
                  <c:v>5</c:v>
                </c:pt>
                <c:pt idx="4">
                  <c:v>3.25</c:v>
                </c:pt>
                <c:pt idx="5">
                  <c:v>2</c:v>
                </c:pt>
                <c:pt idx="6">
                  <c:v>0.5</c:v>
                </c:pt>
                <c:pt idx="7">
                  <c:v>5</c:v>
                </c:pt>
                <c:pt idx="8">
                  <c:v>1</c:v>
                </c:pt>
                <c:pt idx="9">
                  <c:v>2</c:v>
                </c:pt>
                <c:pt idx="10">
                  <c:v>4</c:v>
                </c:pt>
              </c:numCache>
            </c:numRef>
          </c:val>
          <c:extLst>
            <c:ext xmlns:c16="http://schemas.microsoft.com/office/drawing/2014/chart" uri="{C3380CC4-5D6E-409C-BE32-E72D297353CC}">
              <c16:uniqueId val="{00000000-9734-482E-B845-F899E0FAFE4A}"/>
            </c:ext>
          </c:extLst>
        </c:ser>
        <c:ser>
          <c:idx val="1"/>
          <c:order val="1"/>
          <c:tx>
            <c:strRef>
              <c:f>'Ten Steps'!$E$1</c:f>
              <c:strCache>
                <c:ptCount val="1"/>
                <c:pt idx="0">
                  <c:v>Current Maturity Score</c:v>
                </c:pt>
              </c:strCache>
            </c:strRef>
          </c:tx>
          <c:spPr>
            <a:solidFill>
              <a:schemeClr val="accent2"/>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Steps'!$E$2:$E$12</c:f>
              <c:numCache>
                <c:formatCode>0.0</c:formatCode>
                <c:ptCount val="11"/>
                <c:pt idx="0">
                  <c:v>4.5</c:v>
                </c:pt>
                <c:pt idx="1">
                  <c:v>4.666666666666667</c:v>
                </c:pt>
                <c:pt idx="2">
                  <c:v>2</c:v>
                </c:pt>
                <c:pt idx="3">
                  <c:v>5</c:v>
                </c:pt>
                <c:pt idx="4">
                  <c:v>3.25</c:v>
                </c:pt>
                <c:pt idx="5">
                  <c:v>2</c:v>
                </c:pt>
                <c:pt idx="6">
                  <c:v>2.5</c:v>
                </c:pt>
                <c:pt idx="7">
                  <c:v>5</c:v>
                </c:pt>
                <c:pt idx="8">
                  <c:v>1</c:v>
                </c:pt>
                <c:pt idx="9">
                  <c:v>2</c:v>
                </c:pt>
                <c:pt idx="10">
                  <c:v>5</c:v>
                </c:pt>
              </c:numCache>
            </c:numRef>
          </c:val>
          <c:extLst>
            <c:ext xmlns:c16="http://schemas.microsoft.com/office/drawing/2014/chart" uri="{C3380CC4-5D6E-409C-BE32-E72D297353CC}">
              <c16:uniqueId val="{00000001-9734-482E-B845-F899E0FAFE4A}"/>
            </c:ext>
          </c:extLst>
        </c:ser>
        <c:ser>
          <c:idx val="2"/>
          <c:order val="2"/>
          <c:tx>
            <c:strRef>
              <c:f>'Ten Steps'!$F$1</c:f>
              <c:strCache>
                <c:ptCount val="1"/>
                <c:pt idx="0">
                  <c:v>Target Maturity Score</c:v>
                </c:pt>
              </c:strCache>
            </c:strRef>
          </c:tx>
          <c:spPr>
            <a:solidFill>
              <a:schemeClr val="accent3"/>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Steps'!$F$2:$F$12</c:f>
              <c:numCache>
                <c:formatCode>0.0</c:formatCode>
                <c:ptCount val="11"/>
                <c:pt idx="0">
                  <c:v>3</c:v>
                </c:pt>
                <c:pt idx="1">
                  <c:v>3</c:v>
                </c:pt>
                <c:pt idx="2">
                  <c:v>3</c:v>
                </c:pt>
                <c:pt idx="3">
                  <c:v>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2-9734-482E-B845-F899E0FAFE4A}"/>
            </c:ext>
          </c:extLst>
        </c:ser>
        <c:dLbls>
          <c:showLegendKey val="0"/>
          <c:showVal val="0"/>
          <c:showCatName val="0"/>
          <c:showSerName val="0"/>
          <c:showPercent val="0"/>
          <c:showBubbleSize val="0"/>
        </c:dLbls>
        <c:gapWidth val="219"/>
        <c:overlap val="-27"/>
        <c:axId val="1707118528"/>
        <c:axId val="1707118944"/>
      </c:barChart>
      <c:catAx>
        <c:axId val="17071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944"/>
        <c:crosses val="autoZero"/>
        <c:auto val="1"/>
        <c:lblAlgn val="ctr"/>
        <c:lblOffset val="100"/>
        <c:noMultiLvlLbl val="0"/>
      </c:catAx>
      <c:valAx>
        <c:axId val="1707118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Steps'!$G$1</c:f>
              <c:strCache>
                <c:ptCount val="1"/>
                <c:pt idx="0">
                  <c:v>Maturity Gap</c:v>
                </c:pt>
              </c:strCache>
            </c:strRef>
          </c:tx>
          <c:spPr>
            <a:solidFill>
              <a:srgbClr val="FFC000"/>
            </a:solidFill>
            <a:ln>
              <a:noFill/>
            </a:ln>
            <a:effectLst/>
          </c:spPr>
          <c:invertIfNegative val="1"/>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Steps'!$G$2:$G$12</c:f>
              <c:numCache>
                <c:formatCode>0.0</c:formatCode>
                <c:ptCount val="11"/>
                <c:pt idx="0">
                  <c:v>-1.5</c:v>
                </c:pt>
                <c:pt idx="1">
                  <c:v>-1.6666666666666667</c:v>
                </c:pt>
                <c:pt idx="2">
                  <c:v>1</c:v>
                </c:pt>
                <c:pt idx="3">
                  <c:v>-2</c:v>
                </c:pt>
                <c:pt idx="4">
                  <c:v>-0.25</c:v>
                </c:pt>
                <c:pt idx="5">
                  <c:v>1</c:v>
                </c:pt>
                <c:pt idx="6">
                  <c:v>0.5</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00B050"/>
                  </a:solidFill>
                  <a:ln>
                    <a:noFill/>
                  </a:ln>
                  <a:effectLst/>
                </c14:spPr>
              </c14:invertSolidFillFmt>
            </c:ext>
            <c:ext xmlns:c16="http://schemas.microsoft.com/office/drawing/2014/chart" uri="{C3380CC4-5D6E-409C-BE32-E72D297353CC}">
              <c16:uniqueId val="{00000000-49A4-4CB9-BC4D-7C1FF3E29E69}"/>
            </c:ext>
          </c:extLst>
        </c:ser>
        <c:dLbls>
          <c:showLegendKey val="0"/>
          <c:showVal val="0"/>
          <c:showCatName val="0"/>
          <c:showSerName val="0"/>
          <c:showPercent val="0"/>
          <c:showBubbleSize val="0"/>
        </c:dLbls>
        <c:gapWidth val="219"/>
        <c:overlap val="-27"/>
        <c:axId val="1358615808"/>
        <c:axId val="1358620384"/>
      </c:barChart>
      <c:catAx>
        <c:axId val="135861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20384"/>
        <c:crosses val="autoZero"/>
        <c:auto val="1"/>
        <c:lblAlgn val="ctr"/>
        <c:lblOffset val="100"/>
        <c:noMultiLvlLbl val="0"/>
      </c:catAx>
      <c:valAx>
        <c:axId val="135862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1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r>
              <a:rPr lang="en-US" sz="2000">
                <a:solidFill>
                  <a:schemeClr val="accent5">
                    <a:lumMod val="75000"/>
                  </a:schemeClr>
                </a:solidFill>
              </a:rPr>
              <a:t>Maturity Improvement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'Ten Steps'!$H$1</c:f>
              <c:strCache>
                <c:ptCount val="1"/>
                <c:pt idx="0">
                  <c:v>Improvement</c:v>
                </c:pt>
              </c:strCache>
            </c:strRef>
          </c:tx>
          <c:spPr>
            <a:solidFill>
              <a:srgbClr val="92D050"/>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Steps'!$H$2:$H$12</c:f>
              <c:numCache>
                <c:formatCode>0.0</c:formatCode>
                <c:ptCount val="11"/>
                <c:pt idx="0">
                  <c:v>1.5</c:v>
                </c:pt>
                <c:pt idx="1">
                  <c:v>0</c:v>
                </c:pt>
                <c:pt idx="2">
                  <c:v>0</c:v>
                </c:pt>
                <c:pt idx="3">
                  <c:v>0</c:v>
                </c:pt>
                <c:pt idx="4">
                  <c:v>0</c:v>
                </c:pt>
                <c:pt idx="5">
                  <c:v>0</c:v>
                </c:pt>
                <c:pt idx="6">
                  <c:v>2</c:v>
                </c:pt>
                <c:pt idx="7">
                  <c:v>0</c:v>
                </c:pt>
                <c:pt idx="8">
                  <c:v>0</c:v>
                </c:pt>
                <c:pt idx="9">
                  <c:v>0</c:v>
                </c:pt>
                <c:pt idx="10">
                  <c:v>1</c:v>
                </c:pt>
              </c:numCache>
            </c:numRef>
          </c:val>
          <c:extLst>
            <c:ext xmlns:c16="http://schemas.microsoft.com/office/drawing/2014/chart" uri="{C3380CC4-5D6E-409C-BE32-E72D297353CC}">
              <c16:uniqueId val="{00000000-B7CC-492A-B835-84773FE1FCAE}"/>
            </c:ext>
          </c:extLst>
        </c:ser>
        <c:dLbls>
          <c:showLegendKey val="0"/>
          <c:showVal val="0"/>
          <c:showCatName val="0"/>
          <c:showSerName val="0"/>
          <c:showPercent val="0"/>
          <c:showBubbleSize val="0"/>
        </c:dLbls>
        <c:gapWidth val="219"/>
        <c:overlap val="-27"/>
        <c:axId val="1699886192"/>
        <c:axId val="1699887440"/>
      </c:barChart>
      <c:catAx>
        <c:axId val="169988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7440"/>
        <c:crosses val="autoZero"/>
        <c:auto val="1"/>
        <c:lblAlgn val="ctr"/>
        <c:lblOffset val="100"/>
        <c:noMultiLvlLbl val="0"/>
      </c:catAx>
      <c:valAx>
        <c:axId val="1699887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6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5.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7</xdr:col>
      <xdr:colOff>26761</xdr:colOff>
      <xdr:row>37</xdr:row>
      <xdr:rowOff>45812</xdr:rowOff>
    </xdr:to>
    <xdr:pic>
      <xdr:nvPicPr>
        <xdr:cNvPr id="3" name="Picture 2">
          <a:extLst>
            <a:ext uri="{FF2B5EF4-FFF2-40B4-BE49-F238E27FC236}">
              <a16:creationId xmlns:a16="http://schemas.microsoft.com/office/drawing/2014/main" id="{78997B92-CFB8-46E0-AADA-57187AF68C18}"/>
            </a:ext>
          </a:extLst>
        </xdr:cNvPr>
        <xdr:cNvPicPr>
          <a:picLocks noChangeAspect="1"/>
        </xdr:cNvPicPr>
      </xdr:nvPicPr>
      <xdr:blipFill rotWithShape="1">
        <a:blip xmlns:r="http://schemas.openxmlformats.org/officeDocument/2006/relationships" r:embed="rId1"/>
        <a:srcRect l="37672" t="26195" r="37127" b="10434"/>
        <a:stretch/>
      </xdr:blipFill>
      <xdr:spPr>
        <a:xfrm>
          <a:off x="25400" y="0"/>
          <a:ext cx="4624161" cy="6624412"/>
        </a:xfrm>
        <a:prstGeom prst="rect">
          <a:avLst/>
        </a:prstGeom>
      </xdr:spPr>
    </xdr:pic>
    <xdr:clientData/>
  </xdr:twoCellAnchor>
  <xdr:twoCellAnchor editAs="oneCell">
    <xdr:from>
      <xdr:col>0</xdr:col>
      <xdr:colOff>0</xdr:colOff>
      <xdr:row>33</xdr:row>
      <xdr:rowOff>165100</xdr:rowOff>
    </xdr:from>
    <xdr:to>
      <xdr:col>7</xdr:col>
      <xdr:colOff>12700</xdr:colOff>
      <xdr:row>51</xdr:row>
      <xdr:rowOff>160111</xdr:rowOff>
    </xdr:to>
    <xdr:pic>
      <xdr:nvPicPr>
        <xdr:cNvPr id="4" name="Picture 3">
          <a:extLst>
            <a:ext uri="{FF2B5EF4-FFF2-40B4-BE49-F238E27FC236}">
              <a16:creationId xmlns:a16="http://schemas.microsoft.com/office/drawing/2014/main" id="{443039DF-5314-453A-8FE8-F1A562C95BCA}"/>
            </a:ext>
          </a:extLst>
        </xdr:cNvPr>
        <xdr:cNvPicPr>
          <a:picLocks noChangeAspect="1"/>
        </xdr:cNvPicPr>
      </xdr:nvPicPr>
      <xdr:blipFill rotWithShape="1">
        <a:blip xmlns:r="http://schemas.openxmlformats.org/officeDocument/2006/relationships" r:embed="rId2"/>
        <a:srcRect l="37505" t="31640" r="36971" b="38418"/>
        <a:stretch/>
      </xdr:blipFill>
      <xdr:spPr>
        <a:xfrm>
          <a:off x="0" y="6032500"/>
          <a:ext cx="4635500" cy="3195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212725</xdr:colOff>
      <xdr:row>0</xdr:row>
      <xdr:rowOff>62231</xdr:rowOff>
    </xdr:from>
    <xdr:to>
      <xdr:col>1</xdr:col>
      <xdr:colOff>769620</xdr:colOff>
      <xdr:row>0</xdr:row>
      <xdr:rowOff>396240</xdr:rowOff>
    </xdr:to>
    <xdr:pic>
      <xdr:nvPicPr>
        <xdr:cNvPr id="2" name="Picture 1">
          <a:extLst>
            <a:ext uri="{FF2B5EF4-FFF2-40B4-BE49-F238E27FC236}">
              <a16:creationId xmlns:a16="http://schemas.microsoft.com/office/drawing/2014/main" id="{6F0F84EF-9D70-4EFC-9A9C-E1C21AD9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5" y="62231"/>
          <a:ext cx="1181735" cy="33400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662940</xdr:colOff>
      <xdr:row>0</xdr:row>
      <xdr:rowOff>0</xdr:rowOff>
    </xdr:from>
    <xdr:to>
      <xdr:col>17</xdr:col>
      <xdr:colOff>312420</xdr:colOff>
      <xdr:row>34</xdr:row>
      <xdr:rowOff>0</xdr:rowOff>
    </xdr:to>
    <xdr:graphicFrame macro="">
      <xdr:nvGraphicFramePr>
        <xdr:cNvPr id="3" name="Chart 2">
          <a:extLst>
            <a:ext uri="{FF2B5EF4-FFF2-40B4-BE49-F238E27FC236}">
              <a16:creationId xmlns:a16="http://schemas.microsoft.com/office/drawing/2014/main" id="{B6ADBC8F-922A-46F3-8591-70B24590A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917576</xdr:colOff>
      <xdr:row>6</xdr:row>
      <xdr:rowOff>6350</xdr:rowOff>
    </xdr:from>
    <xdr:to>
      <xdr:col>7</xdr:col>
      <xdr:colOff>793750</xdr:colOff>
      <xdr:row>10</xdr:row>
      <xdr:rowOff>377825</xdr:rowOff>
    </xdr:to>
    <xdr:sp macro="" textlink="">
      <xdr:nvSpPr>
        <xdr:cNvPr id="2" name="Text Box 2">
          <a:extLst>
            <a:ext uri="{FF2B5EF4-FFF2-40B4-BE49-F238E27FC236}">
              <a16:creationId xmlns:a16="http://schemas.microsoft.com/office/drawing/2014/main" id="{FFC252E7-DE46-4BDA-AD98-33AE6B342D3F}"/>
            </a:ext>
          </a:extLst>
        </xdr:cNvPr>
        <xdr:cNvSpPr txBox="1">
          <a:spLocks noChangeArrowheads="1"/>
        </xdr:cNvSpPr>
      </xdr:nvSpPr>
      <xdr:spPr bwMode="auto">
        <a:xfrm>
          <a:off x="2350136" y="1332230"/>
          <a:ext cx="3922394" cy="1895475"/>
        </a:xfrm>
        <a:prstGeom prst="rect">
          <a:avLst/>
        </a:prstGeom>
        <a:gradFill rotWithShape="1">
          <a:gsLst>
            <a:gs pos="0">
              <a:srgbClr val="FF0000">
                <a:lumMod val="99000"/>
                <a:alpha val="60000"/>
              </a:srgbClr>
            </a:gs>
            <a:gs pos="50000">
              <a:srgbClr val="FFC000">
                <a:alpha val="60000"/>
              </a:srgbClr>
            </a:gs>
            <a:gs pos="100000">
              <a:srgbClr val="00B050">
                <a:alpha val="60000"/>
              </a:srgbClr>
            </a:gs>
          </a:gsLst>
          <a:lin ang="8100000" scaled="1"/>
        </a:gradFill>
        <a:ln w="9525">
          <a:noFill/>
          <a:miter lim="800000"/>
          <a:headEnd/>
          <a:tailEnd/>
        </a:ln>
      </xdr:spPr>
      <xdr:txBody>
        <a:bodyPr vertOverflow="clip" wrap="square" lIns="91440" tIns="45720" rIns="91440" bIns="45720" anchor="t" upright="1"/>
        <a:lstStyle/>
        <a:p>
          <a:pPr algn="l" rtl="0">
            <a:defRPr sz="1000"/>
          </a:pPr>
          <a:r>
            <a:rPr lang="en-GB" sz="1000" b="0" i="0" u="none" strike="noStrike" baseline="0">
              <a:solidFill>
                <a:srgbClr val="000000"/>
              </a:solidFill>
              <a:latin typeface="Calibri"/>
              <a:cs typeface="Calibri"/>
            </a:rPr>
            <a:t> </a:t>
          </a:r>
        </a:p>
      </xdr:txBody>
    </xdr:sp>
    <xdr:clientData/>
  </xdr:twoCellAnchor>
  <xdr:twoCellAnchor editAs="oneCell">
    <xdr:from>
      <xdr:col>0</xdr:col>
      <xdr:colOff>146051</xdr:colOff>
      <xdr:row>0</xdr:row>
      <xdr:rowOff>120650</xdr:rowOff>
    </xdr:from>
    <xdr:to>
      <xdr:col>2</xdr:col>
      <xdr:colOff>171451</xdr:colOff>
      <xdr:row>1</xdr:row>
      <xdr:rowOff>227479</xdr:rowOff>
    </xdr:to>
    <xdr:pic>
      <xdr:nvPicPr>
        <xdr:cNvPr id="3" name="Picture 2">
          <a:extLst>
            <a:ext uri="{FF2B5EF4-FFF2-40B4-BE49-F238E27FC236}">
              <a16:creationId xmlns:a16="http://schemas.microsoft.com/office/drawing/2014/main" id="{7BB75211-60E5-49AA-9B7C-3AE342E72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1" y="120650"/>
          <a:ext cx="1587500" cy="289709"/>
        </a:xfrm>
        <a:prstGeom prst="rect">
          <a:avLst/>
        </a:prstGeom>
        <a:noFill/>
        <a:ln>
          <a:noFill/>
        </a:ln>
      </xdr:spPr>
    </xdr:pic>
    <xdr:clientData/>
  </xdr:twoCellAnchor>
  <xdr:twoCellAnchor>
    <xdr:from>
      <xdr:col>1</xdr:col>
      <xdr:colOff>6350</xdr:colOff>
      <xdr:row>13</xdr:row>
      <xdr:rowOff>6350</xdr:rowOff>
    </xdr:from>
    <xdr:to>
      <xdr:col>2</xdr:col>
      <xdr:colOff>0</xdr:colOff>
      <xdr:row>18</xdr:row>
      <xdr:rowOff>0</xdr:rowOff>
    </xdr:to>
    <xdr:sp macro="" textlink="">
      <xdr:nvSpPr>
        <xdr:cNvPr id="4" name="Text Box 2">
          <a:extLst>
            <a:ext uri="{FF2B5EF4-FFF2-40B4-BE49-F238E27FC236}">
              <a16:creationId xmlns:a16="http://schemas.microsoft.com/office/drawing/2014/main" id="{8C9D275F-E31F-4FB6-88AF-99A4E3A16AEE}"/>
            </a:ext>
          </a:extLst>
        </xdr:cNvPr>
        <xdr:cNvSpPr txBox="1">
          <a:spLocks noChangeArrowheads="1"/>
        </xdr:cNvSpPr>
      </xdr:nvSpPr>
      <xdr:spPr bwMode="auto">
        <a:xfrm>
          <a:off x="791210" y="3602990"/>
          <a:ext cx="770890" cy="3796030"/>
        </a:xfrm>
        <a:prstGeom prst="rect">
          <a:avLst/>
        </a:prstGeom>
        <a:gradFill rotWithShape="1">
          <a:gsLst>
            <a:gs pos="0">
              <a:srgbClr val="00B050">
                <a:alpha val="60000"/>
              </a:srgbClr>
            </a:gs>
            <a:gs pos="41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9071</xdr:colOff>
      <xdr:row>2</xdr:row>
      <xdr:rowOff>7055</xdr:rowOff>
    </xdr:from>
    <xdr:to>
      <xdr:col>2</xdr:col>
      <xdr:colOff>781231</xdr:colOff>
      <xdr:row>7</xdr:row>
      <xdr:rowOff>7055</xdr:rowOff>
    </xdr:to>
    <xdr:sp macro="" textlink="">
      <xdr:nvSpPr>
        <xdr:cNvPr id="2" name="Text Box 2">
          <a:extLst>
            <a:ext uri="{FF2B5EF4-FFF2-40B4-BE49-F238E27FC236}">
              <a16:creationId xmlns:a16="http://schemas.microsoft.com/office/drawing/2014/main" id="{62E27442-2E35-4482-9AB6-EA76AEAAA0AA}"/>
            </a:ext>
          </a:extLst>
        </xdr:cNvPr>
        <xdr:cNvSpPr txBox="1">
          <a:spLocks noChangeArrowheads="1"/>
        </xdr:cNvSpPr>
      </xdr:nvSpPr>
      <xdr:spPr bwMode="auto">
        <a:xfrm>
          <a:off x="1583871" y="862188"/>
          <a:ext cx="772160" cy="1938867"/>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xdr:row>
      <xdr:rowOff>0</xdr:rowOff>
    </xdr:from>
    <xdr:to>
      <xdr:col>6</xdr:col>
      <xdr:colOff>796471</xdr:colOff>
      <xdr:row>7</xdr:row>
      <xdr:rowOff>0</xdr:rowOff>
    </xdr:to>
    <xdr:sp macro="" textlink="">
      <xdr:nvSpPr>
        <xdr:cNvPr id="3" name="Text Box 2">
          <a:extLst>
            <a:ext uri="{FF2B5EF4-FFF2-40B4-BE49-F238E27FC236}">
              <a16:creationId xmlns:a16="http://schemas.microsoft.com/office/drawing/2014/main" id="{7BC76F7A-A807-49E0-9241-F4DA7D43A0EF}"/>
            </a:ext>
          </a:extLst>
        </xdr:cNvPr>
        <xdr:cNvSpPr txBox="1">
          <a:spLocks noChangeArrowheads="1"/>
        </xdr:cNvSpPr>
      </xdr:nvSpPr>
      <xdr:spPr bwMode="auto">
        <a:xfrm>
          <a:off x="8177711" y="853440"/>
          <a:ext cx="772160" cy="1935480"/>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2015</xdr:colOff>
      <xdr:row>8</xdr:row>
      <xdr:rowOff>7056</xdr:rowOff>
    </xdr:from>
    <xdr:to>
      <xdr:col>7</xdr:col>
      <xdr:colOff>7055</xdr:colOff>
      <xdr:row>13</xdr:row>
      <xdr:rowOff>5645</xdr:rowOff>
    </xdr:to>
    <xdr:sp macro="" textlink="">
      <xdr:nvSpPr>
        <xdr:cNvPr id="4" name="Text Box 2">
          <a:extLst>
            <a:ext uri="{FF2B5EF4-FFF2-40B4-BE49-F238E27FC236}">
              <a16:creationId xmlns:a16="http://schemas.microsoft.com/office/drawing/2014/main" id="{1DF09D82-ECA1-4C80-A2BE-66A14550FCA4}"/>
            </a:ext>
          </a:extLst>
        </xdr:cNvPr>
        <xdr:cNvSpPr txBox="1">
          <a:spLocks noChangeArrowheads="1"/>
        </xdr:cNvSpPr>
      </xdr:nvSpPr>
      <xdr:spPr bwMode="auto">
        <a:xfrm>
          <a:off x="8170655" y="2978856"/>
          <a:ext cx="789900" cy="219314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14</xdr:row>
      <xdr:rowOff>7055</xdr:rowOff>
    </xdr:from>
    <xdr:to>
      <xdr:col>6</xdr:col>
      <xdr:colOff>796471</xdr:colOff>
      <xdr:row>19</xdr:row>
      <xdr:rowOff>5644</xdr:rowOff>
    </xdr:to>
    <xdr:sp macro="" textlink="">
      <xdr:nvSpPr>
        <xdr:cNvPr id="5" name="Text Box 2">
          <a:extLst>
            <a:ext uri="{FF2B5EF4-FFF2-40B4-BE49-F238E27FC236}">
              <a16:creationId xmlns:a16="http://schemas.microsoft.com/office/drawing/2014/main" id="{8147A0F4-AC6A-494F-9128-E32B6921E166}"/>
            </a:ext>
          </a:extLst>
        </xdr:cNvPr>
        <xdr:cNvSpPr txBox="1">
          <a:spLocks noChangeArrowheads="1"/>
        </xdr:cNvSpPr>
      </xdr:nvSpPr>
      <xdr:spPr bwMode="auto">
        <a:xfrm>
          <a:off x="8177711" y="5356295"/>
          <a:ext cx="772160" cy="20102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20</xdr:row>
      <xdr:rowOff>7055</xdr:rowOff>
    </xdr:from>
    <xdr:to>
      <xdr:col>6</xdr:col>
      <xdr:colOff>796471</xdr:colOff>
      <xdr:row>25</xdr:row>
      <xdr:rowOff>5644</xdr:rowOff>
    </xdr:to>
    <xdr:sp macro="" textlink="">
      <xdr:nvSpPr>
        <xdr:cNvPr id="6" name="Text Box 2">
          <a:extLst>
            <a:ext uri="{FF2B5EF4-FFF2-40B4-BE49-F238E27FC236}">
              <a16:creationId xmlns:a16="http://schemas.microsoft.com/office/drawing/2014/main" id="{B1A1F777-93BB-47EE-851A-18BF18089599}"/>
            </a:ext>
          </a:extLst>
        </xdr:cNvPr>
        <xdr:cNvSpPr txBox="1">
          <a:spLocks noChangeArrowheads="1"/>
        </xdr:cNvSpPr>
      </xdr:nvSpPr>
      <xdr:spPr bwMode="auto">
        <a:xfrm>
          <a:off x="8177711" y="7550855"/>
          <a:ext cx="772160" cy="274178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0</xdr:col>
      <xdr:colOff>91723</xdr:colOff>
      <xdr:row>0</xdr:row>
      <xdr:rowOff>176389</xdr:rowOff>
    </xdr:from>
    <xdr:to>
      <xdr:col>2</xdr:col>
      <xdr:colOff>116417</xdr:colOff>
      <xdr:row>0</xdr:row>
      <xdr:rowOff>467368</xdr:rowOff>
    </xdr:to>
    <xdr:pic>
      <xdr:nvPicPr>
        <xdr:cNvPr id="7" name="Picture 6">
          <a:extLst>
            <a:ext uri="{FF2B5EF4-FFF2-40B4-BE49-F238E27FC236}">
              <a16:creationId xmlns:a16="http://schemas.microsoft.com/office/drawing/2014/main" id="{BABFDE57-DECA-4A89-8027-A2A2FE572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3" y="176389"/>
          <a:ext cx="1594414" cy="290979"/>
        </a:xfrm>
        <a:prstGeom prst="rect">
          <a:avLst/>
        </a:prstGeom>
        <a:noFill/>
        <a:ln>
          <a:noFill/>
        </a:ln>
      </xdr:spPr>
    </xdr:pic>
    <xdr:clientData/>
  </xdr:twoCellAnchor>
  <xdr:twoCellAnchor>
    <xdr:from>
      <xdr:col>6</xdr:col>
      <xdr:colOff>9071</xdr:colOff>
      <xdr:row>26</xdr:row>
      <xdr:rowOff>7055</xdr:rowOff>
    </xdr:from>
    <xdr:to>
      <xdr:col>6</xdr:col>
      <xdr:colOff>796471</xdr:colOff>
      <xdr:row>31</xdr:row>
      <xdr:rowOff>5644</xdr:rowOff>
    </xdr:to>
    <xdr:sp macro="" textlink="">
      <xdr:nvSpPr>
        <xdr:cNvPr id="8" name="Text Box 2">
          <a:extLst>
            <a:ext uri="{FF2B5EF4-FFF2-40B4-BE49-F238E27FC236}">
              <a16:creationId xmlns:a16="http://schemas.microsoft.com/office/drawing/2014/main" id="{A65C8793-B74F-4B7A-8B6B-9EF39BA1B9D2}"/>
            </a:ext>
          </a:extLst>
        </xdr:cNvPr>
        <xdr:cNvSpPr txBox="1">
          <a:spLocks noChangeArrowheads="1"/>
        </xdr:cNvSpPr>
      </xdr:nvSpPr>
      <xdr:spPr bwMode="auto">
        <a:xfrm>
          <a:off x="8177711" y="10476935"/>
          <a:ext cx="772160" cy="21626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576344</xdr:colOff>
      <xdr:row>1</xdr:row>
      <xdr:rowOff>7549</xdr:rowOff>
    </xdr:from>
    <xdr:to>
      <xdr:col>18</xdr:col>
      <xdr:colOff>541853</xdr:colOff>
      <xdr:row>4</xdr:row>
      <xdr:rowOff>635000</xdr:rowOff>
    </xdr:to>
    <xdr:graphicFrame macro="">
      <xdr:nvGraphicFramePr>
        <xdr:cNvPr id="2" name="Chart 1">
          <a:extLst>
            <a:ext uri="{FF2B5EF4-FFF2-40B4-BE49-F238E27FC236}">
              <a16:creationId xmlns:a16="http://schemas.microsoft.com/office/drawing/2014/main" id="{1488D09D-EE89-4B25-934B-3135BAB3E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574683</xdr:colOff>
      <xdr:row>4</xdr:row>
      <xdr:rowOff>650486</xdr:rowOff>
    </xdr:from>
    <xdr:to>
      <xdr:col>18</xdr:col>
      <xdr:colOff>539833</xdr:colOff>
      <xdr:row>8</xdr:row>
      <xdr:rowOff>324080</xdr:rowOff>
    </xdr:to>
    <xdr:graphicFrame macro="">
      <xdr:nvGraphicFramePr>
        <xdr:cNvPr id="3" name="Chart 2">
          <a:extLst>
            <a:ext uri="{FF2B5EF4-FFF2-40B4-BE49-F238E27FC236}">
              <a16:creationId xmlns:a16="http://schemas.microsoft.com/office/drawing/2014/main" id="{761FBF10-0104-4DD2-9BB3-9D6374B7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578213</xdr:colOff>
      <xdr:row>8</xdr:row>
      <xdr:rowOff>334819</xdr:rowOff>
    </xdr:from>
    <xdr:to>
      <xdr:col>18</xdr:col>
      <xdr:colOff>537779</xdr:colOff>
      <xdr:row>12</xdr:row>
      <xdr:rowOff>4533</xdr:rowOff>
    </xdr:to>
    <xdr:graphicFrame macro="">
      <xdr:nvGraphicFramePr>
        <xdr:cNvPr id="4" name="Chart 3">
          <a:extLst>
            <a:ext uri="{FF2B5EF4-FFF2-40B4-BE49-F238E27FC236}">
              <a16:creationId xmlns:a16="http://schemas.microsoft.com/office/drawing/2014/main" id="{C9ACD679-4FE6-4C65-BFAE-2EF16C580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476250</xdr:colOff>
      <xdr:row>0</xdr:row>
      <xdr:rowOff>0</xdr:rowOff>
    </xdr:from>
    <xdr:to>
      <xdr:col>18</xdr:col>
      <xdr:colOff>445363</xdr:colOff>
      <xdr:row>0</xdr:row>
      <xdr:rowOff>728869</xdr:rowOff>
    </xdr:to>
    <xdr:pic>
      <xdr:nvPicPr>
        <xdr:cNvPr id="5" name="Picture 4">
          <a:extLst>
            <a:ext uri="{FF2B5EF4-FFF2-40B4-BE49-F238E27FC236}">
              <a16:creationId xmlns:a16="http://schemas.microsoft.com/office/drawing/2014/main" id="{A64057D7-8ED2-4E4C-99F4-7C067426753C}"/>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976" t="13981" r="3044" b="9640"/>
        <a:stretch/>
      </xdr:blipFill>
      <xdr:spPr bwMode="auto">
        <a:xfrm>
          <a:off x="18281650" y="0"/>
          <a:ext cx="629513" cy="728869"/>
        </a:xfrm>
        <a:prstGeom prst="rect">
          <a:avLst/>
        </a:prstGeom>
        <a:noFill/>
        <a:ln>
          <a:noFill/>
        </a:ln>
      </xdr:spPr>
    </xdr:pic>
    <xdr:clientData/>
  </xdr:twoCellAnchor>
  <xdr:twoCellAnchor editAs="oneCell">
    <xdr:from>
      <xdr:col>9</xdr:col>
      <xdr:colOff>37353</xdr:colOff>
      <xdr:row>0</xdr:row>
      <xdr:rowOff>141941</xdr:rowOff>
    </xdr:from>
    <xdr:to>
      <xdr:col>10</xdr:col>
      <xdr:colOff>127000</xdr:colOff>
      <xdr:row>0</xdr:row>
      <xdr:rowOff>599710</xdr:rowOff>
    </xdr:to>
    <xdr:pic>
      <xdr:nvPicPr>
        <xdr:cNvPr id="6" name="Picture 5" descr="Flag of Scotland - Wikipedia">
          <a:extLst>
            <a:ext uri="{FF2B5EF4-FFF2-40B4-BE49-F238E27FC236}">
              <a16:creationId xmlns:a16="http://schemas.microsoft.com/office/drawing/2014/main" id="{243E9F82-DFC5-430C-AC2C-728CE6C065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4503" y="141941"/>
          <a:ext cx="750047" cy="45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4" name="Picture 3">
          <a:extLst>
            <a:ext uri="{FF2B5EF4-FFF2-40B4-BE49-F238E27FC236}">
              <a16:creationId xmlns:a16="http://schemas.microsoft.com/office/drawing/2014/main" id="{FF0E2E30-AAA2-4E95-909F-A7DB0C46D8D4}"/>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3</xdr:col>
      <xdr:colOff>341465</xdr:colOff>
      <xdr:row>0</xdr:row>
      <xdr:rowOff>1003590</xdr:rowOff>
    </xdr:to>
    <xdr:pic>
      <xdr:nvPicPr>
        <xdr:cNvPr id="2" name="Picture 1">
          <a:extLst>
            <a:ext uri="{FF2B5EF4-FFF2-40B4-BE49-F238E27FC236}">
              <a16:creationId xmlns:a16="http://schemas.microsoft.com/office/drawing/2014/main" id="{A90166AA-C7ED-4DC5-89C4-5939FEE30011}"/>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9650" cy="952500"/>
        </a:xfrm>
        <a:prstGeom prst="rect">
          <a:avLst/>
        </a:prstGeom>
      </xdr:spPr>
    </xdr:pic>
    <xdr:clientData/>
  </xdr:twoCellAnchor>
  <xdr:twoCellAnchor editAs="oneCell">
    <xdr:from>
      <xdr:col>12</xdr:col>
      <xdr:colOff>1581727</xdr:colOff>
      <xdr:row>0</xdr:row>
      <xdr:rowOff>173182</xdr:rowOff>
    </xdr:from>
    <xdr:to>
      <xdr:col>13</xdr:col>
      <xdr:colOff>1096818</xdr:colOff>
      <xdr:row>0</xdr:row>
      <xdr:rowOff>935830</xdr:rowOff>
    </xdr:to>
    <xdr:pic>
      <xdr:nvPicPr>
        <xdr:cNvPr id="5" name="Picture 4" descr="Flag of Scotland - Wikipedia">
          <a:extLst>
            <a:ext uri="{FF2B5EF4-FFF2-40B4-BE49-F238E27FC236}">
              <a16:creationId xmlns:a16="http://schemas.microsoft.com/office/drawing/2014/main" id="{DA4E5893-0F74-49EC-8B8A-D98609AF2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83545" y="173182"/>
          <a:ext cx="1258455"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0</xdr:row>
      <xdr:rowOff>9525</xdr:rowOff>
    </xdr:from>
    <xdr:to>
      <xdr:col>12</xdr:col>
      <xdr:colOff>428626</xdr:colOff>
      <xdr:row>13</xdr:row>
      <xdr:rowOff>123825</xdr:rowOff>
    </xdr:to>
    <xdr:graphicFrame macro="">
      <xdr:nvGraphicFramePr>
        <xdr:cNvPr id="4" name="Chart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12700</xdr:rowOff>
    </xdr:from>
    <xdr:to>
      <xdr:col>0</xdr:col>
      <xdr:colOff>638885</xdr:colOff>
      <xdr:row>0</xdr:row>
      <xdr:rowOff>958850</xdr:rowOff>
    </xdr:to>
    <xdr:pic>
      <xdr:nvPicPr>
        <xdr:cNvPr id="7" name="Picture 6">
          <a:extLst>
            <a:ext uri="{FF2B5EF4-FFF2-40B4-BE49-F238E27FC236}">
              <a16:creationId xmlns:a16="http://schemas.microsoft.com/office/drawing/2014/main" id="{D6A32983-B8B7-4E12-BD92-22D21ED711E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2"/>
        <a:stretch>
          <a:fillRect/>
        </a:stretch>
      </xdr:blipFill>
      <xdr:spPr>
        <a:xfrm>
          <a:off x="6350" y="12700"/>
          <a:ext cx="632535" cy="946150"/>
        </a:xfrm>
        <a:prstGeom prst="rect">
          <a:avLst/>
        </a:prstGeom>
      </xdr:spPr>
    </xdr:pic>
    <xdr:clientData/>
  </xdr:twoCellAnchor>
  <xdr:twoCellAnchor editAs="oneCell">
    <xdr:from>
      <xdr:col>0</xdr:col>
      <xdr:colOff>251691</xdr:colOff>
      <xdr:row>0</xdr:row>
      <xdr:rowOff>133350</xdr:rowOff>
    </xdr:from>
    <xdr:to>
      <xdr:col>0</xdr:col>
      <xdr:colOff>870943</xdr:colOff>
      <xdr:row>0</xdr:row>
      <xdr:rowOff>717550</xdr:rowOff>
    </xdr:to>
    <xdr:pic>
      <xdr:nvPicPr>
        <xdr:cNvPr id="6" name="Picture 5">
          <a:extLst>
            <a:ext uri="{FF2B5EF4-FFF2-40B4-BE49-F238E27FC236}">
              <a16:creationId xmlns:a16="http://schemas.microsoft.com/office/drawing/2014/main" id="{31CD86C4-D3DD-42B1-9E3E-49EB254CC2BB}"/>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3"/>
        <a:stretch>
          <a:fillRect/>
        </a:stretch>
      </xdr:blipFill>
      <xdr:spPr>
        <a:xfrm>
          <a:off x="251691" y="133350"/>
          <a:ext cx="619252" cy="584200"/>
        </a:xfrm>
        <a:prstGeom prst="rect">
          <a:avLst/>
        </a:prstGeom>
      </xdr:spPr>
    </xdr:pic>
    <xdr:clientData/>
  </xdr:twoCellAnchor>
  <xdr:twoCellAnchor>
    <xdr:from>
      <xdr:col>0</xdr:col>
      <xdr:colOff>9525</xdr:colOff>
      <xdr:row>1</xdr:row>
      <xdr:rowOff>4761</xdr:rowOff>
    </xdr:from>
    <xdr:to>
      <xdr:col>5</xdr:col>
      <xdr:colOff>9525</xdr:colOff>
      <xdr:row>13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0.02004</cdr:x>
      <cdr:y>0.17359</cdr:y>
    </cdr:from>
    <cdr:to>
      <cdr:x>0.97632</cdr:x>
      <cdr:y>0.33741</cdr:y>
    </cdr:to>
    <cdr:sp macro="" textlink="">
      <cdr:nvSpPr>
        <cdr:cNvPr id="2" name="TextBox 1">
          <a:extLst xmlns:a="http://schemas.openxmlformats.org/drawingml/2006/main">
            <a:ext uri="{FF2B5EF4-FFF2-40B4-BE49-F238E27FC236}">
              <a16:creationId xmlns:a16="http://schemas.microsoft.com/office/drawing/2014/main" id="{369B36A8-C723-4A8E-A9A1-B72F65614795}"/>
            </a:ext>
          </a:extLst>
        </cdr:cNvPr>
        <cdr:cNvSpPr txBox="1"/>
      </cdr:nvSpPr>
      <cdr:spPr>
        <a:xfrm xmlns:a="http://schemas.openxmlformats.org/drawingml/2006/main">
          <a:off x="104603" y="676275"/>
          <a:ext cx="4991495" cy="63817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drawings/drawing5.xml><?xml version="1.0" encoding="utf-8"?>
<c:userShapes xmlns:c="http://schemas.openxmlformats.org/drawingml/2006/chart">
  <cdr:relSizeAnchor xmlns:cdr="http://schemas.openxmlformats.org/drawingml/2006/chartDrawing">
    <cdr:from>
      <cdr:x>0.12646</cdr:x>
      <cdr:y>0.85124</cdr:y>
    </cdr:from>
    <cdr:to>
      <cdr:x>0.47665</cdr:x>
      <cdr:y>0.97686</cdr:y>
    </cdr:to>
    <cdr:sp macro="" textlink="">
      <cdr:nvSpPr>
        <cdr:cNvPr id="2" name="TextBox 1">
          <a:extLst xmlns:a="http://schemas.openxmlformats.org/drawingml/2006/main">
            <a:ext uri="{FF2B5EF4-FFF2-40B4-BE49-F238E27FC236}">
              <a16:creationId xmlns:a16="http://schemas.microsoft.com/office/drawing/2014/main" id="{BC6BEF62-9130-4482-814B-DCCF507814B2}"/>
            </a:ext>
          </a:extLst>
        </cdr:cNvPr>
        <cdr:cNvSpPr txBox="1"/>
      </cdr:nvSpPr>
      <cdr:spPr>
        <a:xfrm xmlns:a="http://schemas.openxmlformats.org/drawingml/2006/main">
          <a:off x="619125" y="2452690"/>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2" name="Picture 1">
          <a:extLst>
            <a:ext uri="{FF2B5EF4-FFF2-40B4-BE49-F238E27FC236}">
              <a16:creationId xmlns:a16="http://schemas.microsoft.com/office/drawing/2014/main" id="{81133F1A-EC79-46E6-B280-EEB32D118A5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2</xdr:col>
      <xdr:colOff>1761556</xdr:colOff>
      <xdr:row>0</xdr:row>
      <xdr:rowOff>1003590</xdr:rowOff>
    </xdr:to>
    <xdr:pic>
      <xdr:nvPicPr>
        <xdr:cNvPr id="3" name="Picture 2">
          <a:extLst>
            <a:ext uri="{FF2B5EF4-FFF2-40B4-BE49-F238E27FC236}">
              <a16:creationId xmlns:a16="http://schemas.microsoft.com/office/drawing/2014/main" id="{B0E26F93-AA56-400D-833C-6A4834C6733F}"/>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5609" cy="952500"/>
        </a:xfrm>
        <a:prstGeom prst="rect">
          <a:avLst/>
        </a:prstGeom>
      </xdr:spPr>
    </xdr:pic>
    <xdr:clientData/>
  </xdr:twoCellAnchor>
  <xdr:twoCellAnchor editAs="oneCell">
    <xdr:from>
      <xdr:col>14</xdr:col>
      <xdr:colOff>1581727</xdr:colOff>
      <xdr:row>0</xdr:row>
      <xdr:rowOff>173182</xdr:rowOff>
    </xdr:from>
    <xdr:to>
      <xdr:col>15</xdr:col>
      <xdr:colOff>1096817</xdr:colOff>
      <xdr:row>0</xdr:row>
      <xdr:rowOff>935830</xdr:rowOff>
    </xdr:to>
    <xdr:pic>
      <xdr:nvPicPr>
        <xdr:cNvPr id="4" name="Picture 3" descr="Flag of Scotland - Wikipedia">
          <a:extLst>
            <a:ext uri="{FF2B5EF4-FFF2-40B4-BE49-F238E27FC236}">
              <a16:creationId xmlns:a16="http://schemas.microsoft.com/office/drawing/2014/main" id="{9C513ECC-CFF6-4BA3-93E9-96208D07C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2577" y="173182"/>
          <a:ext cx="1254991"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632535</xdr:colOff>
      <xdr:row>0</xdr:row>
      <xdr:rowOff>1155700</xdr:rowOff>
    </xdr:to>
    <xdr:pic>
      <xdr:nvPicPr>
        <xdr:cNvPr id="5" name="Picture 4">
          <a:extLst>
            <a:ext uri="{FF2B5EF4-FFF2-40B4-BE49-F238E27FC236}">
              <a16:creationId xmlns:a16="http://schemas.microsoft.com/office/drawing/2014/main" id="{5ECE10D3-5600-4DBC-BDB4-67C8EE99D99D}"/>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0" y="19050"/>
          <a:ext cx="632535" cy="946150"/>
        </a:xfrm>
        <a:prstGeom prst="rect">
          <a:avLst/>
        </a:prstGeom>
      </xdr:spPr>
    </xdr:pic>
    <xdr:clientData/>
  </xdr:twoCellAnchor>
  <xdr:twoCellAnchor editAs="oneCell">
    <xdr:from>
      <xdr:col>0</xdr:col>
      <xdr:colOff>194541</xdr:colOff>
      <xdr:row>0</xdr:row>
      <xdr:rowOff>209550</xdr:rowOff>
    </xdr:from>
    <xdr:to>
      <xdr:col>0</xdr:col>
      <xdr:colOff>726290</xdr:colOff>
      <xdr:row>0</xdr:row>
      <xdr:rowOff>869950</xdr:rowOff>
    </xdr:to>
    <xdr:pic>
      <xdr:nvPicPr>
        <xdr:cNvPr id="6" name="Picture 5">
          <a:extLst>
            <a:ext uri="{FF2B5EF4-FFF2-40B4-BE49-F238E27FC236}">
              <a16:creationId xmlns:a16="http://schemas.microsoft.com/office/drawing/2014/main" id="{65AEA9AD-CE98-4B9D-8023-D22D95D50387}"/>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194541" y="209550"/>
          <a:ext cx="531749" cy="501650"/>
        </a:xfrm>
        <a:prstGeom prst="rect">
          <a:avLst/>
        </a:prstGeom>
      </xdr:spPr>
    </xdr:pic>
    <xdr:clientData/>
  </xdr:twoCellAnchor>
  <xdr:twoCellAnchor>
    <xdr:from>
      <xdr:col>6</xdr:col>
      <xdr:colOff>38100</xdr:colOff>
      <xdr:row>0</xdr:row>
      <xdr:rowOff>1168400</xdr:rowOff>
    </xdr:from>
    <xdr:to>
      <xdr:col>13</xdr:col>
      <xdr:colOff>495300</xdr:colOff>
      <xdr:row>18</xdr:row>
      <xdr:rowOff>44450</xdr:rowOff>
    </xdr:to>
    <xdr:graphicFrame macro="">
      <xdr:nvGraphicFramePr>
        <xdr:cNvPr id="4" name="Chart 3">
          <a:extLst>
            <a:ext uri="{FF2B5EF4-FFF2-40B4-BE49-F238E27FC236}">
              <a16:creationId xmlns:a16="http://schemas.microsoft.com/office/drawing/2014/main" id="{512F324E-DBE0-4F00-AB4B-544C79F71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527050</xdr:colOff>
      <xdr:row>0</xdr:row>
      <xdr:rowOff>1170216</xdr:rowOff>
    </xdr:from>
    <xdr:to>
      <xdr:col>20</xdr:col>
      <xdr:colOff>476250</xdr:colOff>
      <xdr:row>18</xdr:row>
      <xdr:rowOff>42637</xdr:rowOff>
    </xdr:to>
    <xdr:graphicFrame macro="">
      <xdr:nvGraphicFramePr>
        <xdr:cNvPr id="7" name="Chart 6">
          <a:extLst>
            <a:ext uri="{FF2B5EF4-FFF2-40B4-BE49-F238E27FC236}">
              <a16:creationId xmlns:a16="http://schemas.microsoft.com/office/drawing/2014/main" id="{CB5DD694-30A3-481D-9E9A-FE0590A6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1170213</xdr:rowOff>
    </xdr:from>
    <xdr:to>
      <xdr:col>6</xdr:col>
      <xdr:colOff>0</xdr:colOff>
      <xdr:row>18</xdr:row>
      <xdr:rowOff>45357</xdr:rowOff>
    </xdr:to>
    <xdr:graphicFrame macro="">
      <xdr:nvGraphicFramePr>
        <xdr:cNvPr id="8" name="Chart 7">
          <a:extLst>
            <a:ext uri="{FF2B5EF4-FFF2-40B4-BE49-F238E27FC236}">
              <a16:creationId xmlns:a16="http://schemas.microsoft.com/office/drawing/2014/main" id="{EB45E0D8-1B82-4E37-B65D-3A626552B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0.09096</cdr:y>
    </cdr:from>
    <cdr:to>
      <cdr:x>1</cdr:x>
      <cdr:y>0.26804</cdr:y>
    </cdr:to>
    <cdr:sp macro="" textlink="">
      <cdr:nvSpPr>
        <cdr:cNvPr id="2" name="TextBox 1">
          <a:extLst xmlns:a="http://schemas.openxmlformats.org/drawingml/2006/main">
            <a:ext uri="{FF2B5EF4-FFF2-40B4-BE49-F238E27FC236}">
              <a16:creationId xmlns:a16="http://schemas.microsoft.com/office/drawing/2014/main" id="{83A53689-6CFB-4151-8124-510B5E210A78}"/>
            </a:ext>
          </a:extLst>
        </cdr:cNvPr>
        <cdr:cNvSpPr txBox="1"/>
      </cdr:nvSpPr>
      <cdr:spPr>
        <a:xfrm xmlns:a="http://schemas.openxmlformats.org/drawingml/2006/main">
          <a:off x="0" y="359266"/>
          <a:ext cx="5080000" cy="69942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festis.sharepoint.com/personal/drobertson_hefestis_ac_uk/Documents/UHI/UHI%20Security%20Maturity%20Tool%20-%20200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ain Maturity Assessment"/>
      <sheetName val="BAU"/>
      <sheetName val="Security Posture (Main + ISO)"/>
      <sheetName val="Ten Steps"/>
      <sheetName val="NIST CSF (Input)"/>
      <sheetName val="Security Posture (NIST)"/>
      <sheetName val="CIS Top 20 (Input)"/>
      <sheetName val="Security Posture (CIS)"/>
      <sheetName val="Governance"/>
    </sheetNames>
    <sheetDataSet>
      <sheetData sheetId="0" refreshError="1"/>
      <sheetData sheetId="1">
        <row r="2">
          <cell r="U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McIntosh" refreshedDate="44671.641635185188" createdVersion="7" refreshedVersion="7" minRefreshableVersion="3" recordCount="604" xr:uid="{33B663EF-DF3F-4129-A9C7-DCC335CC9186}">
  <cacheSource type="worksheet">
    <worksheetSource ref="A2:I606" sheet="CRF Workbook"/>
  </cacheSource>
  <cacheFields count="9">
    <cacheField name="Domain" numFmtId="0">
      <sharedItems/>
    </cacheField>
    <cacheField name="Category ID" numFmtId="0">
      <sharedItems containsSemiMixedTypes="0" containsString="0" containsNumber="1" containsInteger="1" minValue="1" maxValue="17"/>
    </cacheField>
    <cacheField name="Category Name" numFmtId="0">
      <sharedItems/>
    </cacheField>
    <cacheField name="Subcategory ID" numFmtId="0">
      <sharedItems containsMixedTypes="1" containsNumber="1" minValue="1.1000000000000001" maxValue="13.9" count="76">
        <n v="1.1000000000000001"/>
        <n v="1.2"/>
        <n v="1.3"/>
        <n v="1.4"/>
        <n v="1.5"/>
        <n v="2.1"/>
        <n v="2.2000000000000002"/>
        <n v="2.2999999999999998"/>
        <n v="2.4"/>
        <n v="3.1"/>
        <n v="3.2"/>
        <n v="3.3"/>
        <n v="3.4"/>
        <n v="4.0999999999999996"/>
        <n v="4.2"/>
        <n v="4.3"/>
        <n v="5.0999999999999996"/>
        <n v="5.2"/>
        <n v="5.3"/>
        <n v="5.4"/>
        <n v="5.5"/>
        <n v="5.6"/>
        <n v="6.1"/>
        <n v="6.2"/>
        <n v="6.3"/>
        <n v="6.4"/>
        <n v="6.5"/>
        <n v="7.1"/>
        <n v="8.1"/>
        <n v="8.1999999999999993"/>
        <n v="8.3000000000000007"/>
        <n v="8.4"/>
        <n v="9.1"/>
        <n v="9.1999999999999993"/>
        <n v="9.3000000000000007"/>
        <n v="9.4"/>
        <n v="10.1"/>
        <n v="10.199999999999999"/>
        <n v="11.1"/>
        <n v="11.2"/>
        <n v="12.1"/>
        <n v="12.2"/>
        <n v="12.3"/>
        <n v="12.4"/>
        <n v="13.1"/>
        <n v="13.2"/>
        <n v="13.3"/>
        <n v="13.4"/>
        <n v="13.5"/>
        <n v="13.6"/>
        <n v="13.7"/>
        <n v="13.8"/>
        <n v="13.9"/>
        <s v="13.10"/>
        <s v="14.1"/>
        <s v="14.2"/>
        <s v="14.3"/>
        <s v="14.4"/>
        <s v="14.5"/>
        <s v="14.6"/>
        <s v="14.7"/>
        <s v="14.8"/>
        <s v="14.9"/>
        <s v="14.10"/>
        <s v="15.1"/>
        <s v="15.2"/>
        <s v="16.1"/>
        <s v="16.2"/>
        <s v="16.3"/>
        <s v="16.4"/>
        <s v="17.1"/>
        <s v="17.2"/>
        <s v="17.3"/>
        <s v="17.4"/>
        <s v="17.5"/>
        <s v="17.6"/>
      </sharedItems>
    </cacheField>
    <cacheField name="Subcategory Name" numFmtId="0">
      <sharedItems/>
    </cacheField>
    <cacheField name="Tier Name" numFmtId="0">
      <sharedItems containsMixedTypes="1" containsNumber="1" containsInteger="1" minValue="5" maxValue="5" count="5">
        <s v="Baseline"/>
        <s v="Target"/>
        <s v="Advanced"/>
        <s v="Current level"/>
        <n v="5"/>
      </sharedItems>
    </cacheField>
    <cacheField name="Requirement ID" numFmtId="0">
      <sharedItems containsBlank="1" containsMixedTypes="1" containsNumber="1" containsInteger="1" minValue="0" maxValue="10"/>
    </cacheField>
    <cacheField name="Requirement" numFmtId="0">
      <sharedItems containsBlank="1" longText="1"/>
    </cacheField>
    <cacheField name="Status" numFmtId="0">
      <sharedItems containsBlank="1" count="4">
        <s v="Complete"/>
        <s v="Incomplete"/>
        <m/>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4">
  <r>
    <s v="Manage"/>
    <n v="1"/>
    <s v="Organisational Governance"/>
    <x v="0"/>
    <s v="Governance Framework"/>
    <x v="0"/>
    <n v="1"/>
    <s v="There is a Board/Senior Management-level commitment to manage the risks arising from the cyber threat."/>
    <x v="0"/>
  </r>
  <r>
    <s v="Manage"/>
    <n v="1"/>
    <s v="Organisational Governance"/>
    <x v="0"/>
    <s v="Governance Framework"/>
    <x v="1"/>
    <n v="1"/>
    <s v="There are appropriate data protection and information security policies and processes in place to direct the organisation’s overall approach to cyber security."/>
    <x v="0"/>
  </r>
  <r>
    <s v="Manage"/>
    <n v="1"/>
    <s v="Organisational Governance"/>
    <x v="0"/>
    <s v="Governance Framework"/>
    <x v="1"/>
    <n v="2"/>
    <s v="Personal data processed is catalogued and the purpose for processing it is defined and described."/>
    <x v="1"/>
  </r>
  <r>
    <s v="Manage"/>
    <n v="1"/>
    <s v="Organisational Governance"/>
    <x v="0"/>
    <s v="Governance Framework"/>
    <x v="1"/>
    <n v="3"/>
    <s v="There are clear lines of responsibility and accountability to named individuals for the security of sensitive information and key operational services."/>
    <x v="0"/>
  </r>
  <r>
    <s v="Manage"/>
    <n v="1"/>
    <s v="Organisational Governance"/>
    <x v="0"/>
    <s v="Governance Framework"/>
    <x v="1"/>
    <n v="4"/>
    <s v="Senior accountable individuals have received appropriate training and guidance on cyber security and risk management."/>
    <x v="0"/>
  </r>
  <r>
    <s v="Manage"/>
    <n v="1"/>
    <s v="Organisational Governance"/>
    <x v="0"/>
    <s v="Governance Framework"/>
    <x v="1"/>
    <n v="5"/>
    <s v="There is a culture of awareness and education about cyber security across the organisation."/>
    <x v="0"/>
  </r>
  <r>
    <s v="Manage"/>
    <n v="1"/>
    <s v="Organisational Governance"/>
    <x v="0"/>
    <s v="Governance Framework"/>
    <x v="2"/>
    <n v="1"/>
    <s v="Significant risks to sensitive information and key operational services have been identified and are managed."/>
    <x v="1"/>
  </r>
  <r>
    <s v="Manage"/>
    <n v="1"/>
    <s v="Organisational Governance"/>
    <x v="0"/>
    <s v="Governance Framework"/>
    <x v="2"/>
    <n v="2"/>
    <s v="The security issues that arise because of dependencies on external suppliers or through the supply chain are detailed, organised and managed."/>
    <x v="0"/>
  </r>
  <r>
    <s v="Manage"/>
    <n v="1"/>
    <s v="Organisational Governance"/>
    <x v="0"/>
    <s v="Governance Framework"/>
    <x v="3"/>
    <n v="2"/>
    <s v="Partial Target"/>
    <x v="2"/>
  </r>
  <r>
    <s v="Manage"/>
    <n v="1"/>
    <s v="Organisational Governance"/>
    <x v="1"/>
    <s v="Leadership &amp; responsibility"/>
    <x v="0"/>
    <n v="1"/>
    <s v="A named Board and Senior Management member of staff have been identified as responsible for organisational cyber resilience arrangements."/>
    <x v="0"/>
  </r>
  <r>
    <s v="Manage"/>
    <n v="1"/>
    <s v="Organisational Governance"/>
    <x v="1"/>
    <s v="Leadership &amp; responsibility"/>
    <x v="0"/>
    <n v="2"/>
    <s v="There are clear lines of responsibility and accountability to named individuals for the cyber resilience of sensitive information and key operational services, which have been defined and understood."/>
    <x v="0"/>
  </r>
  <r>
    <s v="Manage"/>
    <n v="1"/>
    <s v="Organisational Governance"/>
    <x v="1"/>
    <s v="Leadership &amp; responsibility"/>
    <x v="0"/>
    <n v="3"/>
    <s v="There is a written information security policy in place, which is championed by senior management. "/>
    <x v="0"/>
  </r>
  <r>
    <s v="Manage"/>
    <n v="1"/>
    <s v="Organisational Governance"/>
    <x v="1"/>
    <s v="Leadership &amp; responsibility"/>
    <x v="0"/>
    <n v="4"/>
    <s v="There is regular staff training in cyber security and information risk management."/>
    <x v="0"/>
  </r>
  <r>
    <s v="Manage"/>
    <n v="1"/>
    <s v="Organisational Governance"/>
    <x v="1"/>
    <s v="Leadership &amp; responsibility"/>
    <x v="1"/>
    <n v="1"/>
    <s v="Senior accountable individuals have received appropriate training and guidance on cyber security and risk management."/>
    <x v="0"/>
  </r>
  <r>
    <s v="Manage"/>
    <n v="1"/>
    <s v="Organisational Governance"/>
    <x v="1"/>
    <s v="Leadership &amp; responsibility"/>
    <x v="1"/>
    <n v="2"/>
    <s v="There is a culture of awareness and education about cyber security across the organisation."/>
    <x v="0"/>
  </r>
  <r>
    <s v="Manage"/>
    <n v="1"/>
    <s v="Organisational Governance"/>
    <x v="1"/>
    <s v="Leadership &amp; responsibility"/>
    <x v="2"/>
    <n v="1"/>
    <s v="Direction set at board level is translated into effective organisational practices that direct and control the security of the organisation’s networks and information systems."/>
    <x v="0"/>
  </r>
  <r>
    <s v="Manage"/>
    <n v="1"/>
    <s v="Organisational Governance"/>
    <x v="1"/>
    <s v="Leadership &amp; responsibility"/>
    <x v="2"/>
    <n v="2"/>
    <s v="The board shall ensure that the organisation has planned and budgeted for adequate resources for the delivery, maintenance and improvement of cyber resilience and network and information security, and that these activities are supported by senior management."/>
    <x v="0"/>
  </r>
  <r>
    <s v="Manage"/>
    <n v="1"/>
    <s v="Organisational Governance"/>
    <x v="1"/>
    <s v="Leadership &amp; responsibility"/>
    <x v="2"/>
    <n v="3"/>
    <s v="The organisation has established roles and responsibilities for the security of networks and information systems at all levels."/>
    <x v="0"/>
  </r>
  <r>
    <s v="Manage"/>
    <n v="1"/>
    <s v="Organisational Governance"/>
    <x v="1"/>
    <s v="Leadership &amp; responsibility"/>
    <x v="2"/>
    <n v="4"/>
    <s v="There are clear and well-understood channels for communicating and escalating risks."/>
    <x v="0"/>
  </r>
  <r>
    <s v="Manage"/>
    <n v="1"/>
    <s v="Organisational Governance"/>
    <x v="1"/>
    <s v="Leadership &amp; responsibility"/>
    <x v="2"/>
    <n v="5"/>
    <s v="There is senior-level accountability for the security of networks and information systems with delegated decision-making authority."/>
    <x v="0"/>
  </r>
  <r>
    <s v="Manage"/>
    <n v="1"/>
    <s v="Organisational Governance"/>
    <x v="1"/>
    <s v="Leadership &amp; responsibility"/>
    <x v="3"/>
    <n v="5"/>
    <s v="Advanced"/>
    <x v="2"/>
  </r>
  <r>
    <s v="Manage"/>
    <n v="1"/>
    <s v="Organisational Governance"/>
    <x v="2"/>
    <s v="Adoption of assurance standards"/>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
    <x v="0"/>
  </r>
  <r>
    <s v="Manage"/>
    <n v="1"/>
    <s v="Organisational Governance"/>
    <x v="2"/>
    <s v="Adoption of assurance standards"/>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2"/>
    <s v="Adoption of assurance standards"/>
    <x v="2"/>
    <n v="1"/>
    <s v="Security as it relates to technology, people, and processes can be demonstrated and verified by a third party audit."/>
    <x v="0"/>
  </r>
  <r>
    <s v="Manage"/>
    <n v="1"/>
    <s v="Organisational Governance"/>
    <x v="2"/>
    <s v="Adoption of assurance standards"/>
    <x v="2"/>
    <n v="2"/>
    <s v="There are procedures to ensure security measures that are in place to protect the networks and information systems are effective, and remain effective for the service lifetime."/>
    <x v="0"/>
  </r>
  <r>
    <s v="Manage"/>
    <n v="1"/>
    <s v="Organisational Governance"/>
    <x v="2"/>
    <s v="Adoption of assurance standards"/>
    <x v="2"/>
    <n v="3"/>
    <s v="The assurance methods available are recognised and appropriate methods to gain confidence in the security of essential services are adopted and implemented."/>
    <x v="0"/>
  </r>
  <r>
    <s v="Manage"/>
    <n v="1"/>
    <s v="Organisational Governance"/>
    <x v="2"/>
    <s v="Adoption of assurance standards"/>
    <x v="3"/>
    <n v="5"/>
    <s v="Advanced"/>
    <x v="2"/>
  </r>
  <r>
    <s v="Manage"/>
    <n v="1"/>
    <s v="Organisational Governance"/>
    <x v="3"/>
    <s v="Information Asset Register"/>
    <x v="0"/>
    <n v="1"/>
    <s v="Key information assets have been identified and recorded."/>
    <x v="1"/>
  </r>
  <r>
    <s v="Manage"/>
    <n v="1"/>
    <s v="Organisational Governance"/>
    <x v="3"/>
    <s v="Information Asset Register"/>
    <x v="0"/>
    <n v="2"/>
    <s v="Key information assets have been assessed for their vulnerability to cyber-attack."/>
    <x v="1"/>
  </r>
  <r>
    <s v="Manage"/>
    <n v="1"/>
    <s v="Organisational Governance"/>
    <x v="3"/>
    <s v="Information Asset Register"/>
    <x v="1"/>
    <n v="1"/>
    <s v="Organisations shall know and record:_x000a_a)_x0009_What sensitive information they hold or process_x000a_b)_x0009_Why they hold or process that information_x000a_c)_x0009_Where the information is held_x000a_d)_x0009_Which computer systems or services process it_x000a_e)_x0009_The impact of its loss, compromise or disclosure"/>
    <x v="1"/>
  </r>
  <r>
    <s v="Manage"/>
    <n v="1"/>
    <s v="Organisational Governance"/>
    <x v="3"/>
    <s v="Information Asset Register"/>
    <x v="2"/>
    <n v="1"/>
    <s v="Assets associated with information and information processing have been identified "/>
    <x v="1"/>
  </r>
  <r>
    <s v="Manage"/>
    <n v="1"/>
    <s v="Organisational Governance"/>
    <x v="3"/>
    <s v="Information Asset Register"/>
    <x v="2"/>
    <n v="2"/>
    <s v="An inventory of these assets has been established and is maintained through recognised process."/>
    <x v="1"/>
  </r>
  <r>
    <s v="Manage"/>
    <n v="1"/>
    <s v="Organisational Governance"/>
    <x v="3"/>
    <s v="Information Asset Register"/>
    <x v="2"/>
    <n v="3"/>
    <s v="Assets maintained in the inventory have ascribed owners."/>
    <x v="1"/>
  </r>
  <r>
    <s v="Manage"/>
    <n v="1"/>
    <s v="Organisational Governance"/>
    <x v="3"/>
    <s v="Information Asset Register"/>
    <x v="3"/>
    <n v="0"/>
    <s v="Partial Baseline"/>
    <x v="2"/>
  </r>
  <r>
    <s v="Manage"/>
    <n v="1"/>
    <s v="Organisational Governance"/>
    <x v="4"/>
    <s v="Audit/assurance compliance"/>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x v="0"/>
  </r>
  <r>
    <s v="Manage"/>
    <n v="1"/>
    <s v="Organisational Governance"/>
    <x v="4"/>
    <s v="Audit/assurance compliance"/>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4"/>
    <s v="Audit/assurance compliance"/>
    <x v="1"/>
    <s v="PSN"/>
    <s v="You must implement regular IT Health Checks and ensure the IA conditions of the PSN Code of Connection are met."/>
    <x v="3"/>
  </r>
  <r>
    <s v="Manage"/>
    <n v="1"/>
    <s v="Organisational Governance"/>
    <x v="4"/>
    <s v="Audit/assurance compliance"/>
    <x v="2"/>
    <n v="1"/>
    <s v="Audit requirements and activities involving verification of operational systems shall be carefully planned and agreed to minimise disruptions to business processes."/>
    <x v="0"/>
  </r>
  <r>
    <s v="Manage"/>
    <n v="1"/>
    <s v="Organisational Governance"/>
    <x v="4"/>
    <s v="Audit/assurance compliance"/>
    <x v="2"/>
    <n v="2"/>
    <s v="The organisation’s approach to managing information security and its implementation (i.e. control objectives, controls, policies, processes and procedures for information security) shall be reviewed independently at planned intervals or when significant changes occur."/>
    <x v="0"/>
  </r>
  <r>
    <s v="Manage"/>
    <n v="1"/>
    <s v="Organisational Governance"/>
    <x v="4"/>
    <s v="Audit/assurance compliance"/>
    <x v="2"/>
    <n v="3"/>
    <s v="Managers regularly review the compliance of information processing and procedures within their area of responsibility with the appropriate security policies, standards and any other security requirements."/>
    <x v="0"/>
  </r>
  <r>
    <s v="Manage"/>
    <n v="1"/>
    <s v="Organisational Governance"/>
    <x v="4"/>
    <s v="Audit/assurance compliance"/>
    <x v="3"/>
    <n v="5"/>
    <s v="Advanced"/>
    <x v="2"/>
  </r>
  <r>
    <s v="Manage"/>
    <n v="2"/>
    <s v="Risk Management"/>
    <x v="5"/>
    <s v="Policy &amp; Processes"/>
    <x v="0"/>
    <n v="1"/>
    <s v="There are information risk management policies and assessment procedures in place."/>
    <x v="0"/>
  </r>
  <r>
    <s v="Manage"/>
    <n v="2"/>
    <s v="Risk Management"/>
    <x v="5"/>
    <s v="Policy &amp; Processes"/>
    <x v="1"/>
    <n v="1"/>
    <s v="Organisations shall identify and manage the significant risks to sensitive information and key operational services."/>
    <x v="0"/>
  </r>
  <r>
    <s v="Manage"/>
    <n v="2"/>
    <s v="Risk Management"/>
    <x v="5"/>
    <s v="Policy &amp; Processes"/>
    <x v="1"/>
    <n v="2"/>
    <s v="Senior management and boards regularly review the organisational cyber risks and threats."/>
    <x v="0"/>
  </r>
  <r>
    <s v="Manage"/>
    <n v="2"/>
    <s v="Risk Management"/>
    <x v="5"/>
    <s v="Policy &amp; Processes"/>
    <x v="2"/>
    <n v="1"/>
    <s v="The organisational process ensures that security risks to networks and information systems relevant to essential services are identified, analysed, prioritised, and managed."/>
    <x v="0"/>
  </r>
  <r>
    <s v="Manage"/>
    <n v="2"/>
    <s v="Risk Management"/>
    <x v="5"/>
    <s v="Policy &amp; Processes"/>
    <x v="2"/>
    <n v="2"/>
    <s v="Risk owners are identified."/>
    <x v="0"/>
  </r>
  <r>
    <s v="Manage"/>
    <n v="2"/>
    <s v="Risk Management"/>
    <x v="5"/>
    <s v="Policy &amp; Processes"/>
    <x v="2"/>
    <n v="3"/>
    <s v="The output from the risk management process is a clear set of security requirements that will address the risks in line with the organisational approach to security."/>
    <x v="0"/>
  </r>
  <r>
    <s v="Manage"/>
    <n v="2"/>
    <s v="Risk Management"/>
    <x v="5"/>
    <s v="Policy &amp; Processes"/>
    <x v="2"/>
    <n v="4"/>
    <s v="Significant conclusions reached in the course of the risk management process are communicated to key security decision-makers and accountable individuals."/>
    <x v="0"/>
  </r>
  <r>
    <s v="Manage"/>
    <n v="2"/>
    <s v="Risk Management"/>
    <x v="5"/>
    <s v="Policy &amp; Processes"/>
    <x v="2"/>
    <n v="5"/>
    <s v="The effectiveness of the risk management process is reviewed periodically and improvements made as required."/>
    <x v="0"/>
  </r>
  <r>
    <s v="Manage"/>
    <n v="2"/>
    <s v="Risk Management"/>
    <x v="5"/>
    <s v="Policy &amp; Processes"/>
    <x v="3"/>
    <n v="5"/>
    <s v="Advanced"/>
    <x v="2"/>
  </r>
  <r>
    <s v="Manage"/>
    <n v="2"/>
    <s v="Risk Management"/>
    <x v="6"/>
    <s v="Cyber / Information Risk Assessment"/>
    <x v="0"/>
    <n v="1"/>
    <s v="Key information and IT assets have been identified, risk assessed and prioritised for their vulnerability to cyber-attack."/>
    <x v="0"/>
  </r>
  <r>
    <s v="Manage"/>
    <n v="2"/>
    <s v="Risk Management"/>
    <x v="6"/>
    <s v="Cyber / Information Risk Assessment"/>
    <x v="1"/>
    <n v="1"/>
    <s v="Organisations should establish a process to identify security vulnerabilities and rank them according to their level of risk."/>
    <x v="0"/>
  </r>
  <r>
    <s v="Manage"/>
    <n v="2"/>
    <s v="Risk Management"/>
    <x v="6"/>
    <s v="Cyber / Information Risk Assessment"/>
    <x v="1"/>
    <n v="2"/>
    <s v="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
    <x v="0"/>
  </r>
  <r>
    <s v="Manage"/>
    <n v="2"/>
    <s v="Risk Management"/>
    <x v="6"/>
    <s v="Cyber / Information Risk Assessment"/>
    <x v="1"/>
    <n v="3"/>
    <s v="The criteria for performing risk assessments are well defined to ensure risk assessments produce consistent, valid and comparable results."/>
    <x v="0"/>
  </r>
  <r>
    <s v="Manage"/>
    <n v="2"/>
    <s v="Risk Management"/>
    <x v="6"/>
    <s v="Cyber / Information Risk Assessment"/>
    <x v="2"/>
    <n v="1"/>
    <s v="The risk assessments are based on a clearly articulated set of threat assumptions; these are kept up-to-date through an understanding of changing security threats."/>
    <x v="0"/>
  </r>
  <r>
    <s v="Manage"/>
    <n v="2"/>
    <s v="Risk Management"/>
    <x v="6"/>
    <s v="Cyber / Information Risk Assessment"/>
    <x v="2"/>
    <n v="2"/>
    <s v="Risk assessments are conducted when significant events potentially affect the essential service, such as replacing a system or a change in the cyber security threat."/>
    <x v="0"/>
  </r>
  <r>
    <s v="Manage"/>
    <n v="2"/>
    <s v="Risk Management"/>
    <x v="6"/>
    <s v="Cyber / Information Risk Assessment"/>
    <x v="2"/>
    <n v="3"/>
    <s v="The risk assessments are dynamic and are updated in the light of relevant changes, which may include technical changes to networks and information systems, change of use and new threat information."/>
    <x v="0"/>
  </r>
  <r>
    <s v="Manage"/>
    <n v="2"/>
    <s v="Risk Management"/>
    <x v="6"/>
    <s v="Cyber / Information Risk Assessment"/>
    <x v="3"/>
    <n v="5"/>
    <s v="Advanced"/>
    <x v="2"/>
  </r>
  <r>
    <s v="Manage"/>
    <n v="2"/>
    <s v="Risk Management"/>
    <x v="7"/>
    <s v="Risk Treatment &amp; Tolerance"/>
    <x v="0"/>
    <n v="1"/>
    <s v="Key information and IT assets have been identified, thoroughly risk assessed and prioritised for their vulnerability to cyber-attack."/>
    <x v="0"/>
  </r>
  <r>
    <s v="Manage"/>
    <n v="2"/>
    <s v="Risk Management"/>
    <x v="7"/>
    <s v="Risk Treatment &amp; Tolerance"/>
    <x v="1"/>
    <n v="1"/>
    <s v="The information and cyber risk that the organisation is prepared to tolerate is defined, understood and communicated."/>
    <x v="0"/>
  </r>
  <r>
    <s v="Manage"/>
    <n v="2"/>
    <s v="Risk Management"/>
    <x v="7"/>
    <s v="Risk Treatment &amp; Tolerance"/>
    <x v="1"/>
    <n v="2"/>
    <s v="A risk appetite statement shall be produced and used to guide risk management decisions."/>
    <x v="0"/>
  </r>
  <r>
    <s v="Manage"/>
    <n v="2"/>
    <s v="Risk Management"/>
    <x v="7"/>
    <s v="Risk Treatment &amp; Tolerance"/>
    <x v="2"/>
    <n v="1"/>
    <s v="The organization shall define and apply an information security risk treatment process that identifies appropriate risk treatment options and associated mitigation controls."/>
    <x v="0"/>
  </r>
  <r>
    <s v="Manage"/>
    <n v="2"/>
    <s v="Risk Management"/>
    <x v="7"/>
    <s v="Risk Treatment &amp; Tolerance"/>
    <x v="2"/>
    <n v="2"/>
    <s v="A risk treatment plan shall be produced"/>
    <x v="0"/>
  </r>
  <r>
    <s v="Manage"/>
    <n v="2"/>
    <s v="Risk Management"/>
    <x v="7"/>
    <s v="Risk Treatment &amp; Tolerance"/>
    <x v="2"/>
    <n v="3"/>
    <s v="A Statement of Applicability shall be prepared to document the risk treatment and controls adopted."/>
    <x v="1"/>
  </r>
  <r>
    <s v="Manage"/>
    <n v="2"/>
    <s v="Risk Management"/>
    <x v="7"/>
    <s v="Risk Treatment &amp; Tolerance"/>
    <x v="2"/>
    <n v="4"/>
    <s v="The senior management shall assess and sign-off the risk treatment regime, policies and procedures. "/>
    <x v="0"/>
  </r>
  <r>
    <s v="Manage"/>
    <n v="2"/>
    <s v="Risk Management"/>
    <x v="7"/>
    <s v="Risk Treatment &amp; Tolerance"/>
    <x v="3"/>
    <n v="4"/>
    <s v="Partial Advanced"/>
    <x v="2"/>
  </r>
  <r>
    <s v="Manage"/>
    <n v="2"/>
    <s v="Risk Management"/>
    <x v="8"/>
    <s v="Risk Governance"/>
    <x v="0"/>
    <n v="1"/>
    <s v="Responsibility for cyber security risks has been allocated appropriately to named individuals.  "/>
    <x v="0"/>
  </r>
  <r>
    <s v="Manage"/>
    <n v="2"/>
    <s v="Risk Management"/>
    <x v="8"/>
    <s v="Risk Governance"/>
    <x v="0"/>
    <n v="2"/>
    <s v="Cyber security risks are on the organisational risk register."/>
    <x v="0"/>
  </r>
  <r>
    <s v="Manage"/>
    <n v="2"/>
    <s v="Risk Management"/>
    <x v="8"/>
    <s v="Risk Governance"/>
    <x v="0"/>
    <n v="3"/>
    <s v="Knowledge sharing of risk management through peer-networks and membership of CiSP is actively undertaken."/>
    <x v="0"/>
  </r>
  <r>
    <s v="Manage"/>
    <n v="2"/>
    <s v="Risk Management"/>
    <x v="8"/>
    <s v="Risk Governance"/>
    <x v="1"/>
    <n v="1"/>
    <s v="The board routinely reviews cyber risks which are a standing agenda item."/>
    <x v="0"/>
  </r>
  <r>
    <s v="Manage"/>
    <n v="2"/>
    <s v="Risk Management"/>
    <x v="8"/>
    <s v="Risk Governance"/>
    <x v="1"/>
    <n v="2"/>
    <s v="There is board-level accountability for cyber risk with a named individual."/>
    <x v="0"/>
  </r>
  <r>
    <s v="Manage"/>
    <n v="2"/>
    <s v="Risk Management"/>
    <x v="8"/>
    <s v="Risk Governance"/>
    <x v="1"/>
    <n v="3"/>
    <s v="Staff members are trained in cyber risk assessment and management relevant to their role."/>
    <x v="0"/>
  </r>
  <r>
    <s v="Manage"/>
    <n v="2"/>
    <s v="Risk Management"/>
    <x v="8"/>
    <s v="Risk Governance"/>
    <x v="1"/>
    <n v="4"/>
    <s v="An organisation-wide risk management culture is promoted by the senior management with demonstrable participation at all levels."/>
    <x v="0"/>
  </r>
  <r>
    <s v="Manage"/>
    <n v="2"/>
    <s v="Risk Management"/>
    <x v="8"/>
    <s v="Risk Governance"/>
    <x v="2"/>
    <n v="1"/>
    <s v="Senior accountable officers receive appropriate training and guidance on cyber security and risk management."/>
    <x v="1"/>
  </r>
  <r>
    <s v="Manage"/>
    <n v="2"/>
    <s v="Risk Management"/>
    <x v="8"/>
    <s v="Risk Governance"/>
    <x v="2"/>
    <n v="2"/>
    <s v="Senior management regularly reviews the resource allocations to ensure these are sufficient to permit prioritised information security and cyber risk mitigation measures to be implemented."/>
    <x v="0"/>
  </r>
  <r>
    <s v="Manage"/>
    <n v="2"/>
    <s v="Risk Management"/>
    <x v="8"/>
    <s v="Risk Governance"/>
    <x v="3"/>
    <n v="4"/>
    <s v="Partial Advanced"/>
    <x v="2"/>
  </r>
  <r>
    <s v="Manage"/>
    <n v="3"/>
    <s v="Supplier Management"/>
    <x v="9"/>
    <s v="Supply Chain Assurance"/>
    <x v="0"/>
    <s v="None"/>
    <m/>
    <x v="3"/>
  </r>
  <r>
    <s v="Manage"/>
    <n v="3"/>
    <s v="Supplier Management"/>
    <x v="9"/>
    <s v="Supply Chain Assurance"/>
    <x v="1"/>
    <n v="1"/>
    <s v="Organisations shall adopt a proportionate, risk-based policy in respect of supply chain cyber security. Specifically, they shall implement the Scottish Public Sector Guidance Note on Supplier Cyber Security from Financial Year 2019-20."/>
    <x v="0"/>
  </r>
  <r>
    <s v="Manage"/>
    <n v="3"/>
    <s v="Supplier Management"/>
    <x v="9"/>
    <s v="Supply Chain Assurance"/>
    <x v="1"/>
    <n v="2"/>
    <s v="Organisations that adopt cloud-based services shall ensure the NCSC 14 principles of cloud security are adopted from Financial year 2019-20."/>
    <x v="0"/>
  </r>
  <r>
    <s v="Manage"/>
    <n v="3"/>
    <s v="Supplier Management"/>
    <x v="9"/>
    <s v="Supply Chain Assurance"/>
    <x v="1"/>
    <n v="3"/>
    <s v="The organisation has assessed, understands and has procedures in place to manage security risks that may arise as a result of dependencies on third party suppliers. "/>
    <x v="0"/>
  </r>
  <r>
    <s v="Manage"/>
    <n v="3"/>
    <s v="Supplier Management"/>
    <x v="9"/>
    <s v="Supply Chain Assurance"/>
    <x v="1"/>
    <n v="4"/>
    <s v="Documented and suitable assurances have been obtained from suppliers and their immediate supply chain that proportionate and appropriate security measures to protect systems, services, data and information are in place."/>
    <x v="0"/>
  </r>
  <r>
    <s v="Manage"/>
    <n v="3"/>
    <s v="Supplier Management"/>
    <x v="9"/>
    <s v="Supply Chain Assurance"/>
    <x v="1"/>
    <n v="5"/>
    <s v="The security requirements and stipulations necessary to ensure GDPR and other regulatory compliance  are incorporated into supplier contracts, are mutually agreed and understood."/>
    <x v="0"/>
  </r>
  <r>
    <s v="Manage"/>
    <n v="3"/>
    <s v="Supplier Management"/>
    <x v="9"/>
    <s v="Supply Chain Assurance"/>
    <x v="2"/>
    <s v="None"/>
    <m/>
    <x v="3"/>
  </r>
  <r>
    <s v="Manage"/>
    <n v="3"/>
    <s v="Supplier Management"/>
    <x v="9"/>
    <s v="Supply Chain Assurance"/>
    <x v="3"/>
    <n v="5"/>
    <s v="Advanced"/>
    <x v="2"/>
  </r>
  <r>
    <s v="Manage"/>
    <n v="3"/>
    <s v="Supplier Management"/>
    <x v="10"/>
    <s v="Roles and Responsibilities"/>
    <x v="0"/>
    <s v="None"/>
    <m/>
    <x v="3"/>
  </r>
  <r>
    <s v="Manage"/>
    <n v="3"/>
    <s v="Supplier Management"/>
    <x v="10"/>
    <s v="Roles and Responsibilities"/>
    <x v="1"/>
    <n v="1"/>
    <s v="Where services are outsourced (for example by use of cloud infrastructure or services), you shall understand and accurately record which security related responsibilities remain with the organisation and which are the supplier’s responsibility."/>
    <x v="0"/>
  </r>
  <r>
    <s v="Manage"/>
    <n v="3"/>
    <s v="Supplier Management"/>
    <x v="10"/>
    <s v="Roles and Responsibilities"/>
    <x v="1"/>
    <n v="2"/>
    <s v="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x v="0"/>
  </r>
  <r>
    <s v="Manage"/>
    <n v="3"/>
    <s v="Supplier Management"/>
    <x v="10"/>
    <s v="Roles and Responsibilities"/>
    <x v="2"/>
    <n v="1"/>
    <s v="There is a clear and documented shared-responsibility model with suppliers for incident management.  "/>
    <x v="0"/>
  </r>
  <r>
    <s v="Manage"/>
    <n v="3"/>
    <s v="Supplier Management"/>
    <x v="10"/>
    <s v="Roles and Responsibilities"/>
    <x v="3"/>
    <n v="5"/>
    <s v="Advanced"/>
    <x v="2"/>
  </r>
  <r>
    <s v="Manage"/>
    <n v="3"/>
    <s v="Supplier Management"/>
    <x v="11"/>
    <s v="Access control"/>
    <x v="0"/>
    <s v="None"/>
    <m/>
    <x v="3"/>
  </r>
  <r>
    <s v="Manage"/>
    <n v="3"/>
    <s v="Supplier Management"/>
    <x v="11"/>
    <s v="Access control"/>
    <x v="1"/>
    <s v="None"/>
    <m/>
    <x v="3"/>
  </r>
  <r>
    <s v="Manage"/>
    <n v="3"/>
    <s v="Supplier Management"/>
    <x v="11"/>
    <s v="Access control"/>
    <x v="2"/>
    <n v="1"/>
    <s v="Only individually authenticated and authorised users can connect to or access your networks or information systems."/>
    <x v="0"/>
  </r>
  <r>
    <s v="Manage"/>
    <n v="3"/>
    <s v="Supplier Management"/>
    <x v="11"/>
    <s v="Access control"/>
    <x v="2"/>
    <n v="2"/>
    <s v="Both electronic and physical access requires individual authentication and authorisation."/>
    <x v="0"/>
  </r>
  <r>
    <s v="Manage"/>
    <n v="3"/>
    <s v="Supplier Management"/>
    <x v="11"/>
    <s v="Access control"/>
    <x v="2"/>
    <n v="3"/>
    <s v="Where cloud-based services are employed, there is sufficient separation of the organisation’s data and service from other users of the service."/>
    <x v="0"/>
  </r>
  <r>
    <s v="Manage"/>
    <n v="3"/>
    <s v="Supplier Management"/>
    <x v="11"/>
    <s v="Access control"/>
    <x v="2"/>
    <n v="4"/>
    <s v="Third party user access to all your networks and information systems is limited to the minimum necessary."/>
    <x v="0"/>
  </r>
  <r>
    <s v="Manage"/>
    <n v="3"/>
    <s v="Supplier Management"/>
    <x v="11"/>
    <s v="Access control"/>
    <x v="2"/>
    <n v="5"/>
    <s v="Additional authentication mechanisms, such as two-factor or hardware-backed certificates are employed, to individually authenticate and authorise all third party remote access to all networks and information systems that support essential services."/>
    <x v="1"/>
  </r>
  <r>
    <s v="Manage"/>
    <n v="3"/>
    <s v="Supplier Management"/>
    <x v="11"/>
    <s v="Access control"/>
    <x v="2"/>
    <n v="6"/>
    <s v="The list of external users with access to essential service networks and systems is reviewed on a regular basis, e.g. every 6 months."/>
    <x v="0"/>
  </r>
  <r>
    <s v="Manage"/>
    <n v="3"/>
    <s v="Supplier Management"/>
    <x v="11"/>
    <s v="Access control"/>
    <x v="3"/>
    <n v="4"/>
    <s v="Partial Advanced"/>
    <x v="2"/>
  </r>
  <r>
    <s v="Manage"/>
    <n v="3"/>
    <s v="Supplier Management"/>
    <x v="12"/>
    <s v="Security in Procurements"/>
    <x v="0"/>
    <s v="None"/>
    <m/>
    <x v="3"/>
  </r>
  <r>
    <s v="Manage"/>
    <n v="3"/>
    <s v="Supplier Management"/>
    <x v="12"/>
    <s v="Security in Procurements"/>
    <x v="1"/>
    <n v="1"/>
    <s v="Ensure implementation of the Scottish Public Sector Supplier Cyber Security Guidance Note as part of procurement processes."/>
    <x v="0"/>
  </r>
  <r>
    <s v="Manage"/>
    <n v="3"/>
    <s v="Supplier Management"/>
    <x v="12"/>
    <s v="Security in Procurements"/>
    <x v="2"/>
    <n v="1"/>
    <s v="Cyber risk and information security related requirements shall be considered as an integral part of the procurement process and, where relevant, included in tender requirements for new systems, services or enhancements to existing provisions."/>
    <x v="0"/>
  </r>
  <r>
    <s v="Manage"/>
    <n v="3"/>
    <s v="Supplier Management"/>
    <x v="12"/>
    <s v="Security in Procurements"/>
    <x v="2"/>
    <n v="2"/>
    <s v="Organisations shall regularly monitor, review and audit supplier service delivery and associated security provisions."/>
    <x v="0"/>
  </r>
  <r>
    <s v="Manage"/>
    <n v="3"/>
    <s v="Supplier Management"/>
    <x v="12"/>
    <s v="Security in Procurements"/>
    <x v="2"/>
    <n v="3"/>
    <s v="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
    <x v="0"/>
  </r>
  <r>
    <s v="Manage"/>
    <n v="3"/>
    <s v="Supplier Management"/>
    <x v="12"/>
    <s v="Security in Procurements"/>
    <x v="3"/>
    <n v="5"/>
    <s v="Advanced"/>
    <x v="2"/>
  </r>
  <r>
    <s v="Manage"/>
    <n v="4"/>
    <s v="Asset Management"/>
    <x v="13"/>
    <s v="Hardware Assets"/>
    <x v="0"/>
    <s v="None"/>
    <m/>
    <x v="3"/>
  </r>
  <r>
    <s v="Manage"/>
    <n v="4"/>
    <s v="Asset Management"/>
    <x v="13"/>
    <s v="Hardware Assets"/>
    <x v="1"/>
    <n v="1"/>
    <s v="All hardware assets and their configuration are tracked and recorded, including end user devices and removable media."/>
    <x v="0"/>
  </r>
  <r>
    <s v="Manage"/>
    <n v="4"/>
    <s v="Asset Management"/>
    <x v="13"/>
    <s v="Hardware Assets"/>
    <x v="1"/>
    <n v="2"/>
    <s v="End user devices are managed to enable organisational controls to be applied over software or applications"/>
    <x v="0"/>
  </r>
  <r>
    <s v="Manage"/>
    <n v="4"/>
    <s v="Asset Management"/>
    <x v="13"/>
    <s v="Hardware Assets"/>
    <x v="1"/>
    <s v="PSN"/>
    <s v="The security of End User Devices (EUDs) meets the CESG guidance on End User Devices Security Principles and  BYOD Guidance: Device Security Considerations."/>
    <x v="3"/>
  </r>
  <r>
    <s v="Manage"/>
    <n v="4"/>
    <s v="Asset Management"/>
    <x v="13"/>
    <s v="Hardware Assets"/>
    <x v="2"/>
    <n v="1"/>
    <s v="All assets are identified and inventoried (at a suitable level of detail). The inventory is kept up-to-date."/>
    <x v="0"/>
  </r>
  <r>
    <s v="Manage"/>
    <n v="4"/>
    <s v="Asset Management"/>
    <x v="13"/>
    <s v="Hardware Assets"/>
    <x v="2"/>
    <n v="2"/>
    <s v="Assets are securely managed throughout their lifecycle, from creation through to eventual decommissioning or disposal."/>
    <x v="0"/>
  </r>
  <r>
    <s v="Manage"/>
    <n v="4"/>
    <s v="Asset Management"/>
    <x v="13"/>
    <s v="Hardware Assets"/>
    <x v="2"/>
    <n v="3"/>
    <s v="All items of equipment containing storage media shall be verified to ensure that any sensitive data and licensed software has been removed or securely overwritten prior to disposal or re-use."/>
    <x v="0"/>
  </r>
  <r>
    <s v="Manage"/>
    <n v="4"/>
    <s v="Asset Management"/>
    <x v="13"/>
    <s v="Hardware Assets"/>
    <x v="2"/>
    <n v="4"/>
    <s v="Assets are prioritised according to their importance to the delivery of the essential service."/>
    <x v="1"/>
  </r>
  <r>
    <s v="Manage"/>
    <n v="4"/>
    <s v="Asset Management"/>
    <x v="13"/>
    <s v="Hardware Assets"/>
    <x v="2"/>
    <n v="5"/>
    <s v="Responsibility for managing the physical assets has been assigned"/>
    <x v="0"/>
  </r>
  <r>
    <s v="Manage"/>
    <n v="4"/>
    <s v="Asset Management"/>
    <x v="13"/>
    <s v="Hardware Assets"/>
    <x v="2"/>
    <n v="6"/>
    <s v="Assets management is in place; assets shall not be taken off-site without prior authorisation with associated documentation."/>
    <x v="1"/>
  </r>
  <r>
    <s v="Manage"/>
    <n v="4"/>
    <s v="Asset Management"/>
    <x v="13"/>
    <s v="Hardware Assets"/>
    <x v="2"/>
    <n v="7"/>
    <s v="Security is applied to all assets used off-site."/>
    <x v="0"/>
  </r>
  <r>
    <s v="Manage"/>
    <n v="4"/>
    <s v="Asset Management"/>
    <x v="13"/>
    <s v="Hardware Assets"/>
    <x v="3"/>
    <n v="4"/>
    <s v="Partial Advanced"/>
    <x v="2"/>
  </r>
  <r>
    <s v="Manage"/>
    <n v="4"/>
    <s v="Asset Management"/>
    <x v="14"/>
    <s v="Software Assets"/>
    <x v="0"/>
    <n v="1"/>
    <s v="All software is maintained and up to date."/>
    <x v="0"/>
  </r>
  <r>
    <s v="Manage"/>
    <n v="4"/>
    <s v="Asset Management"/>
    <x v="14"/>
    <s v="Software Assets"/>
    <x v="0"/>
    <n v="2"/>
    <s v="Software must:_x000a_- be licensed and supported_x000a_- be removed from devices when no longer supported_x000a_- be patched within 14 days of an update_x000a_- being released for critical or high risk vulnerabilities _x000a_- have other mitigating steps in place where patches cannot be applied"/>
    <x v="0"/>
  </r>
  <r>
    <s v="Manage"/>
    <n v="4"/>
    <s v="Asset Management"/>
    <x v="14"/>
    <s v="Software Assets"/>
    <x v="1"/>
    <n v="1"/>
    <s v="All software assets with licence and configuration details must be tracked and recorded"/>
    <x v="0"/>
  </r>
  <r>
    <s v="Manage"/>
    <n v="4"/>
    <s v="Asset Management"/>
    <x v="14"/>
    <s v="Software Assets"/>
    <x v="1"/>
    <n v="2"/>
    <s v="Software vulnerabilities monitoring, including using in-support software, must be implemented."/>
    <x v="0"/>
  </r>
  <r>
    <s v="Manage"/>
    <n v="4"/>
    <s v="Asset Management"/>
    <x v="14"/>
    <s v="Software Assets"/>
    <x v="2"/>
    <n v="1"/>
    <s v="The installation of software shall be controlled and shall not be permitted by general users."/>
    <x v="0"/>
  </r>
  <r>
    <s v="Manage"/>
    <n v="4"/>
    <s v="Asset Management"/>
    <x v="14"/>
    <s v="Software Assets"/>
    <x v="3"/>
    <n v="5"/>
    <s v="Advanced"/>
    <x v="2"/>
  </r>
  <r>
    <s v="Manage"/>
    <n v="4"/>
    <s v="Asset Management"/>
    <x v="15"/>
    <s v="Infrastructure management"/>
    <x v="0"/>
    <s v="None"/>
    <m/>
    <x v="3"/>
  </r>
  <r>
    <s v="Manage"/>
    <n v="4"/>
    <s v="Asset Management"/>
    <x v="15"/>
    <s v="Infrastructure management"/>
    <x v="1"/>
    <n v="1"/>
    <s v="Critical infrastructure assets are identified, threats evaluated and proportionate security measures are in place."/>
    <x v="0"/>
  </r>
  <r>
    <s v="Manage"/>
    <n v="4"/>
    <s v="Asset Management"/>
    <x v="15"/>
    <s v="Infrastructure management"/>
    <x v="2"/>
    <n v="1"/>
    <s v="Network assets shall be regularly maintained to ensure service continuity."/>
    <x v="0"/>
  </r>
  <r>
    <s v="Manage"/>
    <n v="4"/>
    <s v="Asset Management"/>
    <x v="15"/>
    <s v="Infrastructure management"/>
    <x v="2"/>
    <n v="2"/>
    <s v="Network assets shall be protected from power surges and failures."/>
    <x v="0"/>
  </r>
  <r>
    <s v="Manage"/>
    <n v="4"/>
    <s v="Asset Management"/>
    <x v="15"/>
    <s v="Infrastructure management"/>
    <x v="2"/>
    <n v="3"/>
    <s v="Dependencies on supporting infrastructure (e.g. power, cooling etc.) shall be identified and recorded."/>
    <x v="0"/>
  </r>
  <r>
    <s v="Manage"/>
    <n v="4"/>
    <s v="Asset Management"/>
    <x v="15"/>
    <s v="Infrastructure management"/>
    <x v="2"/>
    <n v="4"/>
    <s v="Equipment and devices on premise shall be sited to ensure protection from external and internal environmental risks (e.g. water ingress)."/>
    <x v="0"/>
  </r>
  <r>
    <s v="Manage"/>
    <n v="4"/>
    <s v="Asset Management"/>
    <x v="15"/>
    <s v="Infrastructure management"/>
    <x v="3"/>
    <n v="5"/>
    <s v="Advanced"/>
    <x v="2"/>
  </r>
  <r>
    <s v="Protect"/>
    <n v="5"/>
    <s v="Information Security Management"/>
    <x v="16"/>
    <s v="Security Policy &amp; Processes "/>
    <x v="0"/>
    <s v="None"/>
    <m/>
    <x v="3"/>
  </r>
  <r>
    <s v="Protect"/>
    <n v="5"/>
    <s v="Information Security Management"/>
    <x v="16"/>
    <s v="Security Policy &amp; Processes "/>
    <x v="1"/>
    <n v="1"/>
    <s v="Appropriate policies and processes that direct the organisation’s overall approach to securing systems are defined, implemented, communicated and enforced."/>
    <x v="0"/>
  </r>
  <r>
    <s v="Protect"/>
    <n v="5"/>
    <s v="Information Security Management"/>
    <x v="16"/>
    <s v="Security Policy &amp; Processes "/>
    <x v="1"/>
    <n v="2"/>
    <s v="Security governance, risk assessment and technical security practices are documented."/>
    <x v="0"/>
  </r>
  <r>
    <s v="Protect"/>
    <n v="5"/>
    <s v="Information Security Management"/>
    <x v="16"/>
    <s v="Security Policy &amp; Processes "/>
    <x v="1"/>
    <n v="3"/>
    <s v="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
    <x v="0"/>
  </r>
  <r>
    <s v="Protect"/>
    <n v="5"/>
    <s v="Information Security Management"/>
    <x v="16"/>
    <s v="Security Policy &amp; Processes "/>
    <x v="1"/>
    <n v="4"/>
    <s v="Information security shall be addressed in project management, regardless of the type of project."/>
    <x v="0"/>
  </r>
  <r>
    <s v="Protect"/>
    <n v="5"/>
    <s v="Information Security Management"/>
    <x v="16"/>
    <s v="Security Policy &amp; Processes "/>
    <x v="1"/>
    <n v="5"/>
    <s v="Key security performance indicators are defined and reported to the executive management."/>
    <x v="1"/>
  </r>
  <r>
    <s v="Protect"/>
    <n v="5"/>
    <s v="Information Security Management"/>
    <x v="16"/>
    <s v="Security Policy &amp; Processes "/>
    <x v="1"/>
    <n v="6"/>
    <s v="Acceptable usage policies that define the proper use of technology by all personnel are in place. (These include remote access, wireless, removable electronic media, laptops, tablets, handheld devices, email and Internet.) "/>
    <x v="0"/>
  </r>
  <r>
    <s v="Protect"/>
    <n v="5"/>
    <s v="Information Security Management"/>
    <x v="16"/>
    <s v="Security Policy &amp; Processes "/>
    <x v="1"/>
    <n v="7"/>
    <s v="The security policy and procedures clearly define information security responsibilities for all personnel."/>
    <x v="0"/>
  </r>
  <r>
    <s v="Protect"/>
    <n v="5"/>
    <s v="Information Security Management"/>
    <x v="16"/>
    <s v="Security Policy &amp; Processes "/>
    <x v="2"/>
    <n v="1"/>
    <s v="Policies and processes are reviewed at suitably regular intervals to ensure they remain relevant to threats, business processes, accommodate lessons learned and remain appropriate and effective."/>
    <x v="0"/>
  </r>
  <r>
    <s v="Protect"/>
    <n v="5"/>
    <s v="Information Security Management"/>
    <x v="16"/>
    <s v="Security Policy &amp; Processes "/>
    <x v="2"/>
    <n v="2"/>
    <s v="Security policies and processes are integrated with other organisational policies and processes. "/>
    <x v="0"/>
  </r>
  <r>
    <s v="Protect"/>
    <n v="5"/>
    <s v="Information Security Management"/>
    <x v="16"/>
    <s v="Security Policy &amp; Processes "/>
    <x v="2"/>
    <n v="3"/>
    <s v="All relevant legislative statutory, regulatory, contractual requirements and the organisation’s approach to meet these requirements shall be explicitly identified, documented and kept up to date."/>
    <x v="0"/>
  </r>
  <r>
    <s v="Protect"/>
    <n v="5"/>
    <s v="Asset Management"/>
    <x v="16"/>
    <s v="Security Policy &amp; Processes "/>
    <x v="3"/>
    <n v="2"/>
    <s v="Partial Target"/>
    <x v="2"/>
  </r>
  <r>
    <s v="Protect"/>
    <n v="5"/>
    <s v="Information Security Management"/>
    <x v="17"/>
    <s v="Lifecycle Management"/>
    <x v="0"/>
    <s v="None"/>
    <m/>
    <x v="3"/>
  </r>
  <r>
    <s v="Protect"/>
    <n v="5"/>
    <s v="Information Security Management"/>
    <x v="17"/>
    <s v="Lifecycle Management"/>
    <x v="1"/>
    <n v="1"/>
    <s v="Information and data should be classified according to retention and disposal policies and legal requirements."/>
    <x v="1"/>
  </r>
  <r>
    <s v="Protect"/>
    <n v="5"/>
    <s v="Information Security Management"/>
    <x v="17"/>
    <s v="Lifecycle Management"/>
    <x v="1"/>
    <n v="2"/>
    <s v="Where removable media is to be reused or destroyed then appropriate steps should be taken to ensure that previously stored information will not be accessible."/>
    <x v="0"/>
  </r>
  <r>
    <s v="Protect"/>
    <n v="5"/>
    <s v="Information Security Management"/>
    <x v="17"/>
    <s v="Lifecycle Management"/>
    <x v="1"/>
    <n v="3"/>
    <s v="Personal data processed should be adequate, relevant and limited to what is necessary for the purpose of the processing, and it should not be kept for longer than is necessary."/>
    <x v="0"/>
  </r>
  <r>
    <s v="Protect"/>
    <n v="5"/>
    <s v="Information Security Management"/>
    <x v="17"/>
    <s v="Lifecycle Management"/>
    <x v="1"/>
    <n v="4"/>
    <s v="The rationale for collecting, holding or processing personal information should be documented."/>
    <x v="0"/>
  </r>
  <r>
    <s v="Protect"/>
    <n v="5"/>
    <s v="Information Security Management"/>
    <x v="17"/>
    <s v="Lifecycle Management"/>
    <x v="1"/>
    <n v="5"/>
    <s v="Technical controls are in place to prevent unauthorised or unlawful processing of personal data that might remain in memory when technology is sent for repair or disposal."/>
    <x v="0"/>
  </r>
  <r>
    <s v="Protect"/>
    <n v="5"/>
    <s v="Information Security Management"/>
    <x v="17"/>
    <s v="Lifecycle Management"/>
    <x v="1"/>
    <n v="6"/>
    <s v="Information and data records shall be protected from loss, destruction, falsification, unauthorised access and unauthorised release, in accordance with legislation, regulatory, contractual or business requirements."/>
    <x v="0"/>
  </r>
  <r>
    <s v="Protect"/>
    <n v="5"/>
    <s v="Information Security Management"/>
    <x v="17"/>
    <s v="Lifecycle Management"/>
    <x v="1"/>
    <s v="PCI-DSS"/>
    <s v="•_x0009_Limit cardholder data storage and retention time to that required for business, legal, and/or regulatory purposes, as documented in the data retention policy. _x000a_•_x0009_Purge unnecessary stored cardholder data at least quarterly._x000a_•_x0009_Do not store sensitive cardholder authentication data after authorisation (even if it is encrypted)."/>
    <x v="0"/>
  </r>
  <r>
    <s v="Protect"/>
    <n v="5"/>
    <s v="Information Security Management"/>
    <x v="17"/>
    <s v="Lifecycle Management"/>
    <x v="2"/>
    <n v="1"/>
    <s v="Information, data and media destruction and disposal processes should have assurance procedures and have an audit trail from collection to destruction."/>
    <x v="0"/>
  </r>
  <r>
    <s v="Protect"/>
    <n v="5"/>
    <s v="Information Security Management"/>
    <x v="17"/>
    <s v="Lifecycle Management"/>
    <x v="3"/>
    <n v="2"/>
    <s v="Partial Target"/>
    <x v="2"/>
  </r>
  <r>
    <s v="Protect"/>
    <n v="5"/>
    <s v="Information Security Management"/>
    <x v="18"/>
    <s v="Storage"/>
    <x v="0"/>
    <s v="None"/>
    <m/>
    <x v="3"/>
  </r>
  <r>
    <s v="Protect"/>
    <n v="5"/>
    <s v="Information Security Management"/>
    <x v="18"/>
    <s v="Storage"/>
    <x v="1"/>
    <n v="1"/>
    <s v="There are suitable physical or technical means to protect stored data from unauthorised access, modification or deletion through unauthorised access to storage media."/>
    <x v="0"/>
  </r>
  <r>
    <s v="Protect"/>
    <n v="5"/>
    <s v="Information Security Management"/>
    <x v="18"/>
    <s v="Storage"/>
    <x v="2"/>
    <n v="1"/>
    <s v="There is a detailed understanding and mapping of data and information flows from creation, transit and storage."/>
    <x v="1"/>
  </r>
  <r>
    <s v="Protect"/>
    <n v="5"/>
    <s v="Information Security Management"/>
    <x v="18"/>
    <s v="Storage"/>
    <x v="2"/>
    <n v="2"/>
    <s v="The organisation has processes to remove or minimise unnecessary copies or unneeded historic records."/>
    <x v="1"/>
  </r>
  <r>
    <s v="Protect"/>
    <n v="5"/>
    <s v="Information Security Management"/>
    <x v="18"/>
    <s v="Storage"/>
    <x v="2"/>
    <n v="3"/>
    <s v="Where outsourced or third-party storage is employed, appropriate secured measures are in place and enforced, with appropriate assurance procedures consistent with data retention policies. "/>
    <x v="0"/>
  </r>
  <r>
    <s v="Protect"/>
    <n v="5"/>
    <s v="Information Security Management"/>
    <x v="18"/>
    <s v="Storage"/>
    <x v="2"/>
    <n v="4"/>
    <s v="All data is sanitised from all devices, equipment or removable media before disposal."/>
    <x v="0"/>
  </r>
  <r>
    <s v="Protect"/>
    <n v="5"/>
    <s v="Information Security Management"/>
    <x v="18"/>
    <s v="Storage"/>
    <x v="3"/>
    <n v="4"/>
    <s v="Partial Advanced"/>
    <x v="2"/>
  </r>
  <r>
    <s v="Protect"/>
    <n v="5"/>
    <s v="Information Security Management"/>
    <x v="19"/>
    <s v="Information / Data Classification"/>
    <x v="0"/>
    <s v="None"/>
    <m/>
    <x v="3"/>
  </r>
  <r>
    <s v="Protect"/>
    <n v="5"/>
    <s v="Information Security Management"/>
    <x v="19"/>
    <s v="Information / Data Classification"/>
    <x v="1"/>
    <n v="1"/>
    <s v="Organisations shall know and record the information they hold or process."/>
    <x v="1"/>
  </r>
  <r>
    <s v="Protect"/>
    <n v="5"/>
    <s v="Information Security Management"/>
    <x v="19"/>
    <s v="Information / Data Classification"/>
    <x v="2"/>
    <n v="1"/>
    <s v="All data and information assets have been identified and classified."/>
    <x v="1"/>
  </r>
  <r>
    <s v="Protect"/>
    <n v="5"/>
    <s v="Information Security Management"/>
    <x v="19"/>
    <s v="Information / Data Classification"/>
    <x v="2"/>
    <n v="2"/>
    <s v="Information has been classified in terms of legal requirements, value, criticality and sensitivity to unauthorised disclosure or modification."/>
    <x v="1"/>
  </r>
  <r>
    <s v="Protect"/>
    <n v="5"/>
    <s v="Information Security Management"/>
    <x v="19"/>
    <s v="Information / Data Classification"/>
    <x v="2"/>
    <n v="3"/>
    <s v="An appropriate set of procedures for information labelling has been developed and implemented in accordance with the information classification scheme adopted by the organization"/>
    <x v="1"/>
  </r>
  <r>
    <s v="Protect"/>
    <n v="5"/>
    <s v="Information Security Management"/>
    <x v="19"/>
    <s v="Information / Data Classification"/>
    <x v="3"/>
    <n v="1"/>
    <s v="Baseline"/>
    <x v="2"/>
  </r>
  <r>
    <s v="Protect"/>
    <n v="5"/>
    <s v="Information Security Management"/>
    <x v="20"/>
    <s v="Information Asset Register"/>
    <x v="0"/>
    <s v="None"/>
    <m/>
    <x v="3"/>
  </r>
  <r>
    <s v="Protect"/>
    <n v="5"/>
    <s v="Information Security Management"/>
    <x v="20"/>
    <s v="Information Asset Register"/>
    <x v="1"/>
    <n v="1"/>
    <s v="All data and information assets have been catalogued by type and classification and recorded in an information assets register."/>
    <x v="1"/>
  </r>
  <r>
    <s v="Protect"/>
    <n v="5"/>
    <s v="Information Security Management"/>
    <x v="20"/>
    <s v="Information Asset Register"/>
    <x v="1"/>
    <n v="2"/>
    <s v="The register records where the information/data are held and which computer systems or services process it."/>
    <x v="0"/>
  </r>
  <r>
    <s v="Protect"/>
    <n v="5"/>
    <s v="Information Security Management"/>
    <x v="20"/>
    <s v="Information Asset Register"/>
    <x v="1"/>
    <n v="3"/>
    <s v="The purpose for processing the personal data held by the organisation has been described and recorded."/>
    <x v="1"/>
  </r>
  <r>
    <s v="Protect"/>
    <n v="5"/>
    <s v="Information Security Management"/>
    <x v="20"/>
    <s v="Information Asset Register"/>
    <x v="2"/>
    <n v="1"/>
    <s v="Procedures for handling assets shall be developed and implemented in accordance with the information classification scheme."/>
    <x v="0"/>
  </r>
  <r>
    <s v="Protect"/>
    <n v="5"/>
    <s v="Information Security Management"/>
    <x v="20"/>
    <s v="Information Asset Register"/>
    <x v="2"/>
    <n v="2"/>
    <s v="The register maintains a current understanding of the location, quantity and quality of data and information stored."/>
    <x v="1"/>
  </r>
  <r>
    <s v="Protect"/>
    <n v="5"/>
    <s v="Information Security Management"/>
    <x v="20"/>
    <s v="Information Asset Register"/>
    <x v="3"/>
    <n v="1"/>
    <s v="Baseline"/>
    <x v="2"/>
  </r>
  <r>
    <s v="Protect"/>
    <n v="5"/>
    <s v="Information Security Management"/>
    <x v="21"/>
    <s v="Information / Data Transfer Controls"/>
    <x v="0"/>
    <s v="None"/>
    <m/>
    <x v="3"/>
  </r>
  <r>
    <s v="Protect"/>
    <n v="5"/>
    <s v="Information Security Management"/>
    <x v="21"/>
    <s v="Information / Data Transfer Controls"/>
    <x v="1"/>
    <n v="1"/>
    <s v="Data at rest on all devices is protected by appropriate measures including physical protection (when hosted within a secure data centre) and encryption."/>
    <x v="0"/>
  </r>
  <r>
    <s v="Protect"/>
    <n v="5"/>
    <s v="Information Security Management"/>
    <x v="21"/>
    <s v="Information / Data Transfer Controls"/>
    <x v="1"/>
    <n v="2"/>
    <s v="There are technical controls in place (such as appropriate encryption) to prevent unauthorised or unlawful processing of personal data, whether through unauthorised access to user devices or storage media, backups, interception of data in transit or at rest."/>
    <x v="0"/>
  </r>
  <r>
    <s v="Protect"/>
    <n v="5"/>
    <s v="Information Security Management"/>
    <x v="21"/>
    <s v="Information / Data Transfer Controls"/>
    <x v="1"/>
    <n v="3"/>
    <s v="Data in transit accessed by remote workers and third parties is protected by encryption and the application of a virtual private network (VPN)."/>
    <x v="0"/>
  </r>
  <r>
    <s v="Protect"/>
    <n v="5"/>
    <s v="Information Security Management"/>
    <x v="21"/>
    <s v="Information / Data Transfer Controls"/>
    <x v="1"/>
    <n v="4"/>
    <s v="Protect data in transit using well-configured TLS v1.2. "/>
    <x v="0"/>
  </r>
  <r>
    <s v="Protect"/>
    <n v="5"/>
    <s v="Information Security Management"/>
    <x v="21"/>
    <s v="Information / Data Transfer Controls"/>
    <x v="1"/>
    <s v="PCI-DSS"/>
    <s v="•_x0009_Strong cryptography and security protocols such as SSL/TLS, SSH or IPSec are employed to safeguard sensitive cardholder data during transmission over open, public networks. 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_x000a_•_x0009_Unprotected PANs are not sent by end user messaging technologies."/>
    <x v="0"/>
  </r>
  <r>
    <s v="Protect"/>
    <n v="5"/>
    <s v="Information Security Management"/>
    <x v="21"/>
    <s v="Information / Data Transfer Controls"/>
    <x v="2"/>
    <n v="1"/>
    <s v="There is a current understanding and record of the data links and routes used to transmit data."/>
    <x v="1"/>
  </r>
  <r>
    <s v="Protect"/>
    <n v="5"/>
    <s v="Information Security Management"/>
    <x v="21"/>
    <s v="Information / Data Transfer Controls"/>
    <x v="2"/>
    <n v="2"/>
    <s v="Appropriate physical or technical means are applied to protect data that travels over an untrusted carrier."/>
    <x v="1"/>
  </r>
  <r>
    <s v="Protect"/>
    <n v="5"/>
    <s v="Information Security Management"/>
    <x v="21"/>
    <s v="Information / Data Transfer Controls"/>
    <x v="2"/>
    <n v="3"/>
    <s v="Formal transfer policies, procedures and controls shall be in place to protect the transfer of information through the use of all types of communication facilities."/>
    <x v="0"/>
  </r>
  <r>
    <s v="Protect"/>
    <n v="5"/>
    <s v="Information Security Management"/>
    <x v="21"/>
    <s v="Information / Data Transfer Controls"/>
    <x v="2"/>
    <n v="4"/>
    <s v="Agreements shall address the secure transfer of business information between the organization and external parties."/>
    <x v="0"/>
  </r>
  <r>
    <s v="Protect"/>
    <n v="5"/>
    <s v="Information Security Management"/>
    <x v="21"/>
    <s v="Information / Data Transfer Controls"/>
    <x v="3"/>
    <n v="4"/>
    <s v="Partial Advanced"/>
    <x v="2"/>
  </r>
  <r>
    <s v="Protect"/>
    <n v="6"/>
    <s v="People"/>
    <x v="22"/>
    <s v="Prior to Employment"/>
    <x v="0"/>
    <s v="None"/>
    <m/>
    <x v="3"/>
  </r>
  <r>
    <s v="Protect"/>
    <n v="6"/>
    <s v="People"/>
    <x v="22"/>
    <s v="Prior to Employment"/>
    <x v="1"/>
    <s v="PSN"/>
    <s v="For users who have administrative privileges, pre-employment checks which are aligned with the Baseline Personnel Security Standard (BPSS) should be implemented."/>
    <x v="3"/>
  </r>
  <r>
    <s v="Protect"/>
    <n v="6"/>
    <s v="People"/>
    <x v="22"/>
    <s v="Prior to Employment"/>
    <x v="2"/>
    <n v="1"/>
    <s v=" Pre-employment checks have been performed on all candidates proportional to the role and responsibilities, the classification of the information to be accessed and the perceived risks."/>
    <x v="0"/>
  </r>
  <r>
    <s v="Protect"/>
    <n v="6"/>
    <s v="People"/>
    <x v="22"/>
    <s v="Prior to Employment"/>
    <x v="2"/>
    <n v="2"/>
    <s v="Employee and contractor contract terms and conditions shall state their responsibilities for information security."/>
    <x v="0"/>
  </r>
  <r>
    <s v="Protect"/>
    <n v="6"/>
    <s v="People"/>
    <x v="22"/>
    <s v="Prior to Employment"/>
    <x v="3"/>
    <n v="5"/>
    <s v="Advanced"/>
    <x v="2"/>
  </r>
  <r>
    <s v="Protect"/>
    <n v="6"/>
    <s v="People"/>
    <x v="23"/>
    <s v="During Employment"/>
    <x v="0"/>
    <s v="None"/>
    <m/>
    <x v="3"/>
  </r>
  <r>
    <s v="Protect"/>
    <n v="6"/>
    <s v="People"/>
    <x v="23"/>
    <s v="During Employment"/>
    <x v="1"/>
    <n v="1"/>
    <s v="A staff induction process is in place for new users (including contractors and third party users). "/>
    <x v="0"/>
  </r>
  <r>
    <s v="Protect"/>
    <n v="6"/>
    <s v="People"/>
    <x v="23"/>
    <s v="During Employment"/>
    <x v="1"/>
    <n v="2"/>
    <s v="As part of the induction process staff are made aware of their personal responsibility and obligations to comply with the corporate security policies with regards to system security, data handling, and acceptable use."/>
    <x v="0"/>
  </r>
  <r>
    <s v="Protect"/>
    <n v="6"/>
    <s v="People"/>
    <x v="23"/>
    <s v="During Employment"/>
    <x v="1"/>
    <n v="3"/>
    <s v="The terms and conditions for their employment, or contract, should be formally acknowledged and retained to support any subsequent disciplinary action."/>
    <x v="0"/>
  </r>
  <r>
    <s v="Protect"/>
    <n v="6"/>
    <s v="People"/>
    <x v="23"/>
    <s v="During Employment"/>
    <x v="1"/>
    <n v="4"/>
    <s v="Acceptable usage policies are in place that include remote access, wireless, removable electronic media, laptops, tablets, handheld devices, email and Internet."/>
    <x v="0"/>
  </r>
  <r>
    <s v="Protect"/>
    <n v="6"/>
    <s v="People"/>
    <x v="23"/>
    <s v="During Employment"/>
    <x v="1"/>
    <n v="5"/>
    <s v="The security policy and procedures clearly define information security responsibilities for all personnel."/>
    <x v="0"/>
  </r>
  <r>
    <s v="Protect"/>
    <n v="6"/>
    <s v="People"/>
    <x v="23"/>
    <s v="During Employment"/>
    <x v="2"/>
    <n v="1"/>
    <s v="Information security responsibilities and duties that remain valid after termination or change of employment shall be defined, communicated to the employee or contractor and enforced."/>
    <x v="0"/>
  </r>
  <r>
    <s v="Protect"/>
    <n v="6"/>
    <s v="People"/>
    <x v="23"/>
    <s v="During Employment"/>
    <x v="2"/>
    <n v="2"/>
    <s v="All employees and external party users shall return all of the organisational assets in their possession upon termination of their employment, contract or agreement."/>
    <x v="0"/>
  </r>
  <r>
    <s v="Protect"/>
    <n v="6"/>
    <s v="People"/>
    <x v="23"/>
    <s v="During Employment"/>
    <x v="2"/>
    <n v="3"/>
    <s v="There are established roles and responsibilities for the security of network and information systems at all levels, with clear and well-understood channels for communicating and escalating risks."/>
    <x v="0"/>
  </r>
  <r>
    <s v="Protect"/>
    <n v="6"/>
    <s v="People"/>
    <x v="23"/>
    <s v="During Employment"/>
    <x v="2"/>
    <n v="4"/>
    <s v="Conflicting duties and areas of responsibility shall be segregated to reduce opportunities for unauthorised or unintentional modification or misuse of the organisation’s assets."/>
    <x v="0"/>
  </r>
  <r>
    <s v="Protect"/>
    <n v="6"/>
    <s v="People"/>
    <x v="23"/>
    <s v="During Employment"/>
    <x v="2"/>
    <n v="5"/>
    <s v="Users shall ensure that unattended equipment has appropriate protection."/>
    <x v="0"/>
  </r>
  <r>
    <s v="Protect"/>
    <n v="6"/>
    <s v="People"/>
    <x v="23"/>
    <s v="During Employment"/>
    <x v="2"/>
    <n v="6"/>
    <s v="A clear desk policy for papers and removable storage media and a clear screen policy for information processing facilities shall be adopted."/>
    <x v="0"/>
  </r>
  <r>
    <s v="Protect"/>
    <n v="6"/>
    <s v="People"/>
    <x v="23"/>
    <s v="During Employment"/>
    <x v="3"/>
    <n v="5"/>
    <s v="Advanced"/>
    <x v="2"/>
  </r>
  <r>
    <s v="Protect"/>
    <n v="6"/>
    <s v="People"/>
    <x v="24"/>
    <s v="Staff Training &amp; Awareness Culture"/>
    <x v="0"/>
    <n v="1"/>
    <s v="Appropriate staff training, awareness-raising and disciplinary processes with regard to cyber resilience are in place for staff at all organisational levels."/>
    <x v="0"/>
  </r>
  <r>
    <s v="Protect"/>
    <n v="6"/>
    <s v="People"/>
    <x v="24"/>
    <s v="Staff Training &amp; Awareness Culture"/>
    <x v="1"/>
    <n v="1"/>
    <s v="All users should be aware of the policy regarding acceptable account usage and their personal responsibility to adhere to corporate security policies including removable media security and mobile device utilisation."/>
    <x v="0"/>
  </r>
  <r>
    <s v="Protect"/>
    <n v="6"/>
    <s v="People"/>
    <x v="24"/>
    <s v="Staff Training &amp; Awareness Culture"/>
    <x v="1"/>
    <n v="2"/>
    <s v="All users should receive regular refresher training on the security risks to the organisation."/>
    <x v="0"/>
  </r>
  <r>
    <s v="Protect"/>
    <n v="6"/>
    <s v="People"/>
    <x v="24"/>
    <s v="Staff Training &amp; Awareness Culture"/>
    <x v="1"/>
    <n v="3"/>
    <s v="The effectiveness of security training is monitored to test the effectiveness and value of the security training provided to all users."/>
    <x v="1"/>
  </r>
  <r>
    <s v="Protect"/>
    <n v="6"/>
    <s v="People"/>
    <x v="24"/>
    <s v="Staff Training &amp; Awareness Culture"/>
    <x v="1"/>
    <n v="4"/>
    <s v="Employees receive appropriate training, support and technology to help them manage personal data securely. "/>
    <x v="0"/>
  </r>
  <r>
    <s v="Protect"/>
    <n v="6"/>
    <s v="People"/>
    <x v="24"/>
    <s v="Staff Training &amp; Awareness Culture"/>
    <x v="1"/>
    <n v="5"/>
    <s v="Senior accountable individuals receive appropriate training and guidance on cyber security and risk management and promote a culture of awareness and education about cyber security across the organisation."/>
    <x v="1"/>
  </r>
  <r>
    <s v="Protect"/>
    <n v="6"/>
    <s v="People"/>
    <x v="24"/>
    <s v="Staff Training &amp; Awareness Culture"/>
    <x v="2"/>
    <n v="1"/>
    <s v="Individuals’ cyber security training is monitored to ensure update training is completed and delivered at regular intervals."/>
    <x v="0"/>
  </r>
  <r>
    <s v="Protect"/>
    <n v="6"/>
    <s v="People"/>
    <x v="24"/>
    <s v="Staff Training &amp; Awareness Culture"/>
    <x v="2"/>
    <n v="2"/>
    <s v="Cyber security training and awareness activities are evaluated for efficacy."/>
    <x v="1"/>
  </r>
  <r>
    <s v="Protect"/>
    <n v="6"/>
    <s v="People"/>
    <x v="24"/>
    <s v="Staff Training &amp; Awareness Culture"/>
    <x v="3"/>
    <n v="2"/>
    <s v="Partial Target"/>
    <x v="2"/>
  </r>
  <r>
    <s v="Protect"/>
    <n v="6"/>
    <s v="People"/>
    <x v="25"/>
    <s v="Staff Skills Assessment"/>
    <x v="0"/>
    <s v="None"/>
    <m/>
    <x v="3"/>
  </r>
  <r>
    <s v="Protect"/>
    <n v="6"/>
    <s v="People"/>
    <x v="25"/>
    <s v="Staff Skills Assessment"/>
    <x v="1"/>
    <n v="1"/>
    <s v="A formal assessment of security skills is undertaken."/>
    <x v="1"/>
  </r>
  <r>
    <s v="Protect"/>
    <n v="6"/>
    <s v="People"/>
    <x v="25"/>
    <s v="Staff Skills Assessment"/>
    <x v="1"/>
    <n v="2"/>
    <s v="Staff in security roles should be encouraged to develop and formally validate their security skills through enrolment on a recognised certification scheme."/>
    <x v="0"/>
  </r>
  <r>
    <s v="Protect"/>
    <n v="6"/>
    <s v="People"/>
    <x v="25"/>
    <s v="Staff Skills Assessment"/>
    <x v="2"/>
    <n v="1"/>
    <s v="Necessary roles for the security of networks and information systems have been identified and appropriately capable and knowledgeable staff fill those roles."/>
    <x v="0"/>
  </r>
  <r>
    <s v="Protect"/>
    <n v="6"/>
    <s v="People"/>
    <x v="25"/>
    <s v="Staff Skills Assessment"/>
    <x v="3"/>
    <n v="2"/>
    <s v="Partial Target"/>
    <x v="2"/>
  </r>
  <r>
    <s v="Protect"/>
    <n v="6"/>
    <s v="People"/>
    <x v="26"/>
    <s v="Mobile / Remote Working Policy"/>
    <x v="0"/>
    <s v="None"/>
    <m/>
    <x v="3"/>
  </r>
  <r>
    <s v="Protect"/>
    <n v="6"/>
    <s v="People"/>
    <x v="26"/>
    <s v="Mobile / Remote Working Policy"/>
    <x v="1"/>
    <n v="1"/>
    <s v="A policy and supporting security measures shall be adopted to manage the risks introduced by using mobile devices."/>
    <x v="0"/>
  </r>
  <r>
    <s v="Protect"/>
    <n v="6"/>
    <s v="People"/>
    <x v="26"/>
    <s v="Mobile / Remote Working Policy"/>
    <x v="1"/>
    <s v="PSN"/>
    <s v="• Services presented outside of the protected enterprise (online services for staff, mobile working etc.) should be delivered from an appropriate architecture, with access to any core information or services constrained._x000a_• The architecture will include services to identify malware at the gateway. Where encryption prevents this, the organisation shall implement an equivalent level of protection at the end point. _x000a_• If you are using cloud services: You may consider procurement of services which respond to different business needs and therefore have different security attributes. It is important that any interfaces between services are within scope._x000a_• If cloud services are accessed from the organisation’s PSN-connected infrastructure, security assessments of these services should be conducted against the NCSC Cloud Security Principles._x000a_•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_x000a_ _x000a_a) Is not able to use the corporate service to access the PSN in an unmediated fashion_x000a_b) Accesses the corporate service through an appropriately secured connection_x000a_c) For example, at the network layer via a VPN, or at the application layer via a protocol that implements TLS, is authenticated prior to the information being accessed with a mechanism that does not solely rely on a username and password."/>
    <x v="3"/>
  </r>
  <r>
    <s v="Protect"/>
    <n v="6"/>
    <s v="People"/>
    <x v="26"/>
    <s v="Mobile / Remote Working Policy"/>
    <x v="2"/>
    <n v="1"/>
    <s v="A policy and supporting security measures shall be implemented to protect information and data accessed, processed or stored at remote sites."/>
    <x v="0"/>
  </r>
  <r>
    <s v="Protect"/>
    <n v="6"/>
    <s v="People"/>
    <x v="26"/>
    <s v="Mobile / Remote Working Policy"/>
    <x v="2"/>
    <n v="2"/>
    <s v="Mobile devices that hold data are catalogued, controlled and configured according to best practice for the platform, with appropriate technical and procedural policies in place."/>
    <x v="0"/>
  </r>
  <r>
    <s v="Protect"/>
    <n v="6"/>
    <s v="People"/>
    <x v="26"/>
    <s v="Mobile / Remote Working Policy"/>
    <x v="2"/>
    <n v="3"/>
    <s v="A remote-wipe capability is in place for all mobile devices."/>
    <x v="0"/>
  </r>
  <r>
    <s v="Protect"/>
    <n v="6"/>
    <s v="People"/>
    <x v="26"/>
    <s v="Mobile / Remote Working Policy"/>
    <x v="2"/>
    <n v="4"/>
    <s v="Data held on mobile devices has been minimised and some data may be automatically deleted off mobile devices after a certain period."/>
    <x v="0"/>
  </r>
  <r>
    <s v="Protect"/>
    <n v="6"/>
    <s v="People"/>
    <x v="26"/>
    <s v="Mobile / Remote Working Policy"/>
    <x v="3"/>
    <n v="5"/>
    <s v="Advanced"/>
    <x v="2"/>
  </r>
  <r>
    <s v="Protect"/>
    <n v="7"/>
    <s v="Services Resilience"/>
    <x v="27"/>
    <s v="Services Resilience"/>
    <x v="0"/>
    <s v="None"/>
    <m/>
    <x v="3"/>
  </r>
  <r>
    <s v="Protect"/>
    <n v="7"/>
    <s v="Services Resilience"/>
    <x v="27"/>
    <s v="Services Resilience"/>
    <x v="1"/>
    <n v="1"/>
    <s v="Key operational services have been identified with resource, technology and service dependencies defined (e.g. power, bandwidth, cooling, data, people)."/>
    <x v="1"/>
  </r>
  <r>
    <s v="Protect"/>
    <n v="7"/>
    <s v="Services Resilience"/>
    <x v="27"/>
    <s v="Services Resilience"/>
    <x v="2"/>
    <n v="1"/>
    <s v="Key operational systems are segregated from other business and external systems by appropriate technical and physical means (e.g. separate network and system infrastructure with independent user administration)."/>
    <x v="0"/>
  </r>
  <r>
    <s v="Protect"/>
    <n v="7"/>
    <s v="Services Resilience"/>
    <x v="27"/>
    <s v="Services Resilience"/>
    <x v="2"/>
    <n v="2"/>
    <s v="Geographical constraints or weaknesses have been identified and mitigated."/>
    <x v="0"/>
  </r>
  <r>
    <s v="Protect"/>
    <n v="7"/>
    <s v="Services Resilience"/>
    <x v="27"/>
    <s v="Services Resilience"/>
    <x v="2"/>
    <n v="3"/>
    <s v="Systems that key services depend upon have redundancy and are replicated to an alternative location."/>
    <x v="0"/>
  </r>
  <r>
    <s v="Protect"/>
    <n v="7"/>
    <s v="Services Resilience"/>
    <x v="27"/>
    <s v="Services Resilience"/>
    <x v="2"/>
    <n v="4"/>
    <s v="There are alternative physical paths and service providers for network connectivity with known separacy and diversity of bearers."/>
    <x v="0"/>
  </r>
  <r>
    <s v="Protect"/>
    <n v="7"/>
    <s v="Services Resilience"/>
    <x v="27"/>
    <s v="Services Resilience"/>
    <x v="2"/>
    <n v="5"/>
    <s v="Dependencies, resource and geographical limitation assessments are regularly reviewed with update mitigations when required."/>
    <x v="1"/>
  </r>
  <r>
    <s v="Protect"/>
    <n v="7"/>
    <s v="Services Resilience"/>
    <x v="27"/>
    <s v="Services Resilience"/>
    <x v="3"/>
    <n v="1"/>
    <s v="Baseline"/>
    <x v="2"/>
  </r>
  <r>
    <s v="Protect"/>
    <n v="8"/>
    <s v="Access Control"/>
    <x v="28"/>
    <s v="Account Management"/>
    <x v="0"/>
    <n v="1"/>
    <s v="All user account creation is subject to a provisioning and approval process."/>
    <x v="0"/>
  </r>
  <r>
    <s v="Protect"/>
    <n v="8"/>
    <s v="Access Control"/>
    <x v="28"/>
    <s v="Account Management"/>
    <x v="0"/>
    <n v="2"/>
    <s v="Each user authenticates using a unique username and strong password before being granted access to applications, computers and network devices."/>
    <x v="0"/>
  </r>
  <r>
    <s v="Protect"/>
    <n v="8"/>
    <s v="Access Control"/>
    <x v="28"/>
    <s v="Account Management"/>
    <x v="0"/>
    <n v="3"/>
    <s v="All default passwords are removed and changed. "/>
    <x v="0"/>
  </r>
  <r>
    <s v="Protect"/>
    <n v="8"/>
    <s v="Access Control"/>
    <x v="28"/>
    <s v="Account Management"/>
    <x v="0"/>
    <n v="4"/>
    <s v="There is a robust password policy which avoids users having weak passwords, such as those trivially guessable."/>
    <x v="0"/>
  </r>
  <r>
    <s v="Protect"/>
    <n v="8"/>
    <s v="Access Control"/>
    <x v="28"/>
    <s v="Account Management"/>
    <x v="0"/>
    <n v="5"/>
    <s v="Password or account sharing between users is not permitted."/>
    <x v="0"/>
  </r>
  <r>
    <s v="Protect"/>
    <n v="8"/>
    <s v="Access Control"/>
    <x v="28"/>
    <s v="Account Management"/>
    <x v="0"/>
    <n v="6"/>
    <s v="User accounts and special access privileges are removed or disabled when no longer required (e.g. when an individual changes role or leaves the organisation) or after a pre-defined period of inactivity (e.g. 3 months)."/>
    <x v="0"/>
  </r>
  <r>
    <s v="Protect"/>
    <n v="8"/>
    <s v="Access Control"/>
    <x v="28"/>
    <s v="Account Management"/>
    <x v="0"/>
    <n v="7"/>
    <s v="Unnecessary user accounts (e.g. Guest accounts and unnecessary administrative accounts) should be removed or disabled."/>
    <x v="0"/>
  </r>
  <r>
    <s v="Protect"/>
    <n v="8"/>
    <s v="Access Control"/>
    <x v="28"/>
    <s v="Account Management"/>
    <x v="1"/>
    <s v="PSN"/>
    <s v="•_x0009_High-privilege users (i.e. administrators) use different passwords for their high-privilege and low-privilege accounts._x000a_•_x0009_Passwords are combined with some other form of strengthening authentication, such as lockouts, throttling or two-factor authentication. _x000a_•_x0009_Passwords are never stored as plain text, but are (as a minimum) hashed using a cryptographic function capable of multiple iterations and/or a variable work factor. It is advisable to add a salt before hashing passwords."/>
    <x v="3"/>
  </r>
  <r>
    <s v="Protect"/>
    <n v="8"/>
    <s v="Access Control"/>
    <x v="28"/>
    <s v="Account Management"/>
    <x v="2"/>
    <s v="None"/>
    <m/>
    <x v="3"/>
  </r>
  <r>
    <s v="Protect"/>
    <n v="8"/>
    <s v="Access Control"/>
    <x v="28"/>
    <s v="Account Management"/>
    <x v="3"/>
    <n v="5"/>
    <s v="Advanced"/>
    <x v="2"/>
  </r>
  <r>
    <s v="Protect"/>
    <n v="8"/>
    <s v="Access Control"/>
    <x v="29"/>
    <s v="Identity Authentication"/>
    <x v="0"/>
    <n v="1"/>
    <s v="Only individually authenticated and authorised users can connect to or access your networks or information systems."/>
    <x v="0"/>
  </r>
  <r>
    <s v="Protect"/>
    <n v="8"/>
    <s v="Access Control"/>
    <x v="29"/>
    <s v="Identity Authentication"/>
    <x v="0"/>
    <n v="2"/>
    <s v="Each user authenticates using a unique username and strong password before being granted access to applications, computers and network devices."/>
    <x v="0"/>
  </r>
  <r>
    <s v="Protect"/>
    <n v="8"/>
    <s v="Access Control"/>
    <x v="29"/>
    <s v="Identity Authentication"/>
    <x v="1"/>
    <n v="1"/>
    <s v="Users that can access personal data are appropriately authenticated."/>
    <x v="0"/>
  </r>
  <r>
    <s v="Protect"/>
    <n v="8"/>
    <s v="Access Control"/>
    <x v="29"/>
    <s v="Identity Authentication"/>
    <x v="1"/>
    <n v="2"/>
    <s v="Users who have privileged access are strongly authenticated by two-factor or device authentication measures. "/>
    <x v="1"/>
  </r>
  <r>
    <s v="Protect"/>
    <n v="8"/>
    <s v="Access Control"/>
    <x v="29"/>
    <s v="Identity Authentication"/>
    <x v="1"/>
    <n v="3"/>
    <s v="Multi-factor authentication shall be used for access to enterprise level social media accounts."/>
    <x v="1"/>
  </r>
  <r>
    <s v="Protect"/>
    <n v="8"/>
    <s v="Access Control"/>
    <x v="29"/>
    <s v="Identity Authentication"/>
    <x v="1"/>
    <s v="PCI-DSS"/>
    <s v="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
    <x v="0"/>
  </r>
  <r>
    <s v="Protect"/>
    <n v="8"/>
    <s v="Access Control"/>
    <x v="29"/>
    <s v="Identity Authentication"/>
    <x v="2"/>
    <n v="1"/>
    <s v="Additional authentication mechanisms, such as two-factor or hardware-backed certificates are employed for all systems that operate or support key services."/>
    <x v="1"/>
  </r>
  <r>
    <s v="Protect"/>
    <n v="8"/>
    <s v="Access Control"/>
    <x v="29"/>
    <s v="Identity Authentication"/>
    <x v="2"/>
    <n v="2"/>
    <s v="There is an auditable, robust procedure in place to verify each user and issue minimum required access rights. "/>
    <x v="1"/>
  </r>
  <r>
    <s v="Protect"/>
    <n v="8"/>
    <s v="Access Control"/>
    <x v="29"/>
    <s v="Identity Authentication"/>
    <x v="2"/>
    <n v="3"/>
    <s v="Attempts by unauthorised users to connect to systems are alerted, promptly assessed and investigated."/>
    <x v="1"/>
  </r>
  <r>
    <s v="Protect"/>
    <n v="8"/>
    <s v="Access Control"/>
    <x v="29"/>
    <s v="Identity Authentication"/>
    <x v="3"/>
    <n v="2"/>
    <s v="Partial Target"/>
    <x v="2"/>
  </r>
  <r>
    <s v="Protect"/>
    <n v="8"/>
    <s v="Access Control"/>
    <x v="30"/>
    <s v="Privilege Management"/>
    <x v="0"/>
    <n v="1"/>
    <s v="Special access privileges are restricted to a limited number of authorised individuals."/>
    <x v="0"/>
  </r>
  <r>
    <s v="Protect"/>
    <n v="8"/>
    <s v="Access Control"/>
    <x v="30"/>
    <s v="Privilege Management"/>
    <x v="0"/>
    <n v="2"/>
    <s v="Details about special access privileges (e.g. the individual and purpose) are documented, kept in a secure location and reviewed on a regular basis (e.g. quarterly)."/>
    <x v="0"/>
  </r>
  <r>
    <s v="Protect"/>
    <n v="8"/>
    <s v="Access Control"/>
    <x v="30"/>
    <s v="Privilege Management"/>
    <x v="0"/>
    <n v="3"/>
    <s v="Special access privileges are controlled, periodically reviewed and removed or disabled when no longer required."/>
    <x v="0"/>
  </r>
  <r>
    <s v="Protect"/>
    <n v="8"/>
    <s v="Access Control"/>
    <x v="30"/>
    <s v="Privilege Management"/>
    <x v="1"/>
    <n v="1"/>
    <s v="Users who have privileged access accounts are strongly authenticated by two-factor or hardware authentication measures."/>
    <x v="1"/>
  </r>
  <r>
    <s v="Protect"/>
    <n v="8"/>
    <s v="Access Control"/>
    <x v="30"/>
    <s v="Privilege Management"/>
    <x v="1"/>
    <n v="2"/>
    <s v="Access to sensitive information and services is only provided to authorised, known and individually referenced users or systems."/>
    <x v="0"/>
  </r>
  <r>
    <s v="Protect"/>
    <n v="8"/>
    <s v="Access Control"/>
    <x v="30"/>
    <s v="Privilege Management"/>
    <x v="1"/>
    <n v="3"/>
    <s v="Access to logging data is limited to those with business need and no others. Legitimate reasons for accessing logging data are given in use policies and users are trained on this."/>
    <x v="1"/>
  </r>
  <r>
    <s v="Protect"/>
    <n v="8"/>
    <s v="Access Control"/>
    <x v="30"/>
    <s v="Privilege Management"/>
    <x v="2"/>
    <n v="1"/>
    <s v="Systems and devices supporting the delivery services are only administered or maintained by authorised privileged users from dedicated devices that are technically segregated and secured to the same level as the networks and systems being maintained."/>
    <x v="0"/>
  </r>
  <r>
    <s v="Protect"/>
    <n v="8"/>
    <s v="Access Control"/>
    <x v="30"/>
    <s v="Privilege Management"/>
    <x v="2"/>
    <n v="2"/>
    <s v="Privileged access (e.g. to systems controlling the essential service or system administration) is carried out with separate accounts that are closely monitored."/>
    <x v="0"/>
  </r>
  <r>
    <s v="Protect"/>
    <n v="8"/>
    <s v="Access Control"/>
    <x v="30"/>
    <s v="Privilege Management"/>
    <x v="2"/>
    <n v="3"/>
    <s v="All privileged access to your networks and information systems is routinely validated and subject to real-time security monitoring, with all privileged user sessions recorded and stored for offline analysis and investigation."/>
    <x v="1"/>
  </r>
  <r>
    <s v="Protect"/>
    <n v="8"/>
    <s v="Access Control"/>
    <x v="30"/>
    <s v="Privilege Management"/>
    <x v="2"/>
    <n v="4"/>
    <s v="Temporary, time-bound rights for privileged access and external third-party support access are employed where appropriate."/>
    <x v="1"/>
  </r>
  <r>
    <s v="Protect"/>
    <n v="8"/>
    <s v="Access Control"/>
    <x v="30"/>
    <s v="Privilege Management"/>
    <x v="2"/>
    <n v="5"/>
    <s v="The use of utility programs that might be capable of overriding systems and applications shall be restricted."/>
    <x v="0"/>
  </r>
  <r>
    <s v="Protect"/>
    <n v="8"/>
    <s v="Access Control"/>
    <x v="30"/>
    <s v="Privilege Management"/>
    <x v="2"/>
    <n v="6"/>
    <s v="Access to program source code shall be restricted"/>
    <x v="0"/>
  </r>
  <r>
    <s v="Protect"/>
    <n v="8"/>
    <s v="Access Control"/>
    <x v="30"/>
    <s v="Privilege Management"/>
    <x v="3"/>
    <n v="1"/>
    <s v="Baseline"/>
    <x v="2"/>
  </r>
  <r>
    <s v="Protect"/>
    <n v="8"/>
    <s v="Access Control"/>
    <x v="31"/>
    <s v="Administrator Account Management"/>
    <x v="0"/>
    <n v="1"/>
    <s v="Administrative accounts should only be used to perform legitimate administrative activities, and should not be granted access to email or the internet."/>
    <x v="0"/>
  </r>
  <r>
    <s v="Protect"/>
    <n v="8"/>
    <s v="Access Control"/>
    <x v="31"/>
    <s v="Administrator Account Management"/>
    <x v="0"/>
    <n v="2"/>
    <s v="Administrative accounts should be configured to require a password change on a regular basis (e.g. at least every 60 days)."/>
    <x v="0"/>
  </r>
  <r>
    <s v="Protect"/>
    <n v="8"/>
    <s v="Access Control"/>
    <x v="31"/>
    <s v="Administrator Account Management"/>
    <x v="1"/>
    <n v="1"/>
    <s v="Highly privileged administrative accounts should not be used for high risk or day to day user activities, for example web browsing and email. "/>
    <x v="0"/>
  </r>
  <r>
    <s v="Protect"/>
    <n v="8"/>
    <s v="Access Control"/>
    <x v="31"/>
    <s v="Administrator Account Management"/>
    <x v="1"/>
    <n v="2"/>
    <s v="Administrators do not conduct ‘normal’ day-to-day business from their high privilege account and use normal accounts for standard business use."/>
    <x v="0"/>
  </r>
  <r>
    <s v="Protect"/>
    <n v="8"/>
    <s v="Access Control"/>
    <x v="31"/>
    <s v="Administrator Account Management"/>
    <x v="2"/>
    <n v="1"/>
    <s v="The list of system administrators is regularly reviewed, e.g. every 6 months."/>
    <x v="0"/>
  </r>
  <r>
    <s v="Protect"/>
    <n v="8"/>
    <s v="Access Control"/>
    <x v="31"/>
    <s v="Administrator Account Management"/>
    <x v="3"/>
    <n v="5"/>
    <s v="Advanced"/>
    <x v="2"/>
  </r>
  <r>
    <s v="Protect"/>
    <n v="9"/>
    <s v="Media Management"/>
    <x v="32"/>
    <s v="Storage Media"/>
    <x v="0"/>
    <s v="None"/>
    <m/>
    <x v="3"/>
  </r>
  <r>
    <s v="Protect"/>
    <n v="9"/>
    <s v="Media Management"/>
    <x v="32"/>
    <s v="Storage Media"/>
    <x v="1"/>
    <n v="1"/>
    <s v="The organisation can identify and account for all end user devices and removable media."/>
    <x v="0"/>
  </r>
  <r>
    <s v="Protect"/>
    <n v="9"/>
    <s v="Media Management"/>
    <x v="32"/>
    <s v="Storage Media"/>
    <x v="1"/>
    <n v="2"/>
    <s v="Tracking and recording of all assets that process personal data, including end user devices and removable media is in place."/>
    <x v="0"/>
  </r>
  <r>
    <s v="Protect"/>
    <n v="9"/>
    <s v="Media Management"/>
    <x v="32"/>
    <s v="Storage Media"/>
    <x v="1"/>
    <s v="PCI-DSS"/>
    <s v="•_x0009_Media back-ups are stored in a secure location, preferably off site._x000a_•_x0009_All media is physically secure._x000a_•_x0009_There is strict control over the internal or external distribution of any kind of media._x000a_•_x0009_Management approves any and all media moved from a secured area, especially when media is distributed to individuals._x000a_•_x0009_There is strict control over the storage and accessibility of media._x000a_•_x0009_All media is destroyed when it is no longer needed for business or legal reasons."/>
    <x v="0"/>
  </r>
  <r>
    <s v="Protect"/>
    <n v="9"/>
    <s v="Media Management"/>
    <x v="32"/>
    <s v="Storage Media"/>
    <x v="2"/>
    <n v="1"/>
    <s v="All data important to the delivery of the essential service is sanitised from all devices, equipment or removable media before disposal. "/>
    <x v="0"/>
  </r>
  <r>
    <s v="Protect"/>
    <n v="9"/>
    <s v="Media Management"/>
    <x v="32"/>
    <s v="Storage Media"/>
    <x v="2"/>
    <n v="2"/>
    <s v="Cloud service providers appropriately sanitise data storage areas before reallocating to another user."/>
    <x v="0"/>
  </r>
  <r>
    <s v="Protect"/>
    <n v="9"/>
    <s v="Media Management"/>
    <x v="32"/>
    <s v="Storage Media"/>
    <x v="3"/>
    <n v="5"/>
    <s v="Advanced"/>
    <x v="2"/>
  </r>
  <r>
    <s v="Protect"/>
    <n v="9"/>
    <s v="Media Management"/>
    <x v="33"/>
    <s v="Mobile Media / Devices"/>
    <x v="0"/>
    <s v="None"/>
    <m/>
    <x v="3"/>
  </r>
  <r>
    <s v="Protect"/>
    <n v="9"/>
    <s v="Media Management"/>
    <x v="33"/>
    <s v="Mobile Media / Devices"/>
    <x v="1"/>
    <n v="1"/>
    <s v="Where the use of removable media is required to support the business need, it is limited to the minimum media types and users needed. "/>
    <x v="0"/>
  </r>
  <r>
    <s v="Protect"/>
    <n v="9"/>
    <s v="Media Management"/>
    <x v="33"/>
    <s v="Mobile Media / Devices"/>
    <x v="1"/>
    <n v="2"/>
    <s v="Removable media is automatically scanned for malware when it is introduced to any system. "/>
    <x v="0"/>
  </r>
  <r>
    <s v="Protect"/>
    <n v="9"/>
    <s v="Media Management"/>
    <x v="33"/>
    <s v="Mobile Media / Devices"/>
    <x v="1"/>
    <n v="3"/>
    <s v="Any media brought into the organisation is scanned for malicious content by a standalone machine before any data transfer takes place."/>
    <x v="0"/>
  </r>
  <r>
    <s v="Protect"/>
    <n v="9"/>
    <s v="Media Management"/>
    <x v="33"/>
    <s v="Mobile Media / Devices"/>
    <x v="1"/>
    <n v="4"/>
    <s v="All removable media is formally issued to individual users who are accountable for its use and safe keeping. "/>
    <x v="0"/>
  </r>
  <r>
    <s v="Protect"/>
    <n v="9"/>
    <s v="Media Management"/>
    <x v="33"/>
    <s v="Mobile Media / Devices"/>
    <x v="1"/>
    <n v="5"/>
    <s v="Users do not use unofficial media, such as USB sticks given away at conferences."/>
    <x v="0"/>
  </r>
  <r>
    <s v="Protect"/>
    <n v="9"/>
    <s v="Media Management"/>
    <x v="33"/>
    <s v="Mobile Media / Devices"/>
    <x v="1"/>
    <n v="6"/>
    <s v="Sensitive information is encrypted at rest on media. "/>
    <x v="1"/>
  </r>
  <r>
    <s v="Protect"/>
    <n v="9"/>
    <s v="Media Management"/>
    <x v="33"/>
    <s v="Mobile Media / Devices"/>
    <x v="1"/>
    <n v="7"/>
    <s v="Where removable media is to be reused or destroyed then it will be done securely with appropriate steps taken to ensure that previously stored information is not accessible. "/>
    <x v="0"/>
  </r>
  <r>
    <s v="Protect"/>
    <n v="9"/>
    <s v="Media Management"/>
    <x v="33"/>
    <s v="Mobile Media / Devices"/>
    <x v="1"/>
    <n v="8"/>
    <s v="All data is sanitised from all devices, equipment or removable media before disposal."/>
    <x v="0"/>
  </r>
  <r>
    <s v="Protect"/>
    <n v="9"/>
    <s v="Media Management"/>
    <x v="33"/>
    <s v="Mobile Media / Devices"/>
    <x v="1"/>
    <n v="9"/>
    <s v="All users are made aware of their personal responsibilities for following the removable media security policy."/>
    <x v="0"/>
  </r>
  <r>
    <s v="Protect"/>
    <n v="9"/>
    <s v="Media Management"/>
    <x v="33"/>
    <s v="Mobile Media / Devices"/>
    <x v="1"/>
    <n v="10"/>
    <s v="A secure baseline build and configuration is applied to all mobile devices."/>
    <x v="0"/>
  </r>
  <r>
    <s v="Protect"/>
    <n v="9"/>
    <s v="Media Management"/>
    <x v="33"/>
    <s v="Mobile Media / Devices"/>
    <x v="2"/>
    <n v="1"/>
    <s v="Mobile devices are catalogued, tracked and configured according to best practice for the platform, with appropriate technical and procedural policies in place."/>
    <x v="0"/>
  </r>
  <r>
    <s v="Protect"/>
    <n v="9"/>
    <s v="Media Management"/>
    <x v="33"/>
    <s v="Mobile Media / Devices"/>
    <x v="2"/>
    <n v="2"/>
    <s v="The data held on mobile devices is minimised.  "/>
    <x v="0"/>
  </r>
  <r>
    <s v="Protect"/>
    <n v="9"/>
    <s v="Media Management"/>
    <x v="33"/>
    <s v="Mobile Media / Devices"/>
    <x v="2"/>
    <n v="3"/>
    <s v="Some data may be automatically deleted off mobile devices after a certain period."/>
    <x v="0"/>
  </r>
  <r>
    <s v="Protect"/>
    <n v="9"/>
    <s v="Media Management"/>
    <x v="33"/>
    <s v="Mobile Media / Devices"/>
    <x v="2"/>
    <n v="4"/>
    <s v="Procedures are implemented for the management of removable media in accordance with the classification scheme adopted by the organisation."/>
    <x v="1"/>
  </r>
  <r>
    <s v="Protect"/>
    <n v="9"/>
    <s v="Media Management"/>
    <x v="33"/>
    <s v="Mobile Media / Devices"/>
    <x v="3"/>
    <n v="2"/>
    <s v="Partial Target"/>
    <x v="2"/>
  </r>
  <r>
    <s v="Protect"/>
    <n v="9"/>
    <s v="Media Management"/>
    <x v="34"/>
    <s v="Cryptography"/>
    <x v="0"/>
    <s v="None"/>
    <m/>
    <x v="3"/>
  </r>
  <r>
    <s v="Protect"/>
    <n v="9"/>
    <s v="Media Management"/>
    <x v="34"/>
    <s v="Cryptography"/>
    <x v="1"/>
    <n v="1"/>
    <s v="Sensitive information should be encrypted at rest on devices and media and when transmitted electronically, especially over an untrusted carrier."/>
    <x v="1"/>
  </r>
  <r>
    <s v="Protect"/>
    <n v="9"/>
    <s v="Media Management"/>
    <x v="34"/>
    <s v="Cryptography"/>
    <x v="1"/>
    <s v="PCI-DSS"/>
    <s v="•_x0009_Any keys used for encryption of cardholder data are protected from disclosure and misuse._x000a_•_x0009_All appropriate key management processes and procedures for cryptographic keys used for encryption of cardholder data are documented and implemented._x000a_•_x0009_Strong cryptography and security protocols such as SSL/TLS, SSH or IPSec are used to safeguard sensitive cardholder data during transmission over open, public networks.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
    <x v="0"/>
  </r>
  <r>
    <s v="Protect"/>
    <n v="9"/>
    <s v="Media Management"/>
    <x v="34"/>
    <s v="Cryptography"/>
    <x v="2"/>
    <n v="1"/>
    <s v="There is a policy on the adoption of cryptography including the use and protection of cryptographic keys and their lifetime management."/>
    <x v="1"/>
  </r>
  <r>
    <s v="Protect"/>
    <n v="9"/>
    <s v="Media Management"/>
    <x v="34"/>
    <s v="Cryptography"/>
    <x v="3"/>
    <n v="2"/>
    <s v="Partial Target"/>
    <x v="2"/>
  </r>
  <r>
    <s v="Protect"/>
    <n v="9"/>
    <s v="Media Management"/>
    <x v="35"/>
    <s v="Remote Wipe Capability"/>
    <x v="0"/>
    <s v="None"/>
    <m/>
    <x v="3"/>
  </r>
  <r>
    <s v="Protect"/>
    <n v="9"/>
    <s v="Media Management"/>
    <x v="35"/>
    <s v="Remote Wipe Capability"/>
    <x v="1"/>
    <n v="1"/>
    <s v="The organisation has the ability to remotely wipe and/or revoke access from all mobile devices."/>
    <x v="0"/>
  </r>
  <r>
    <s v="Protect"/>
    <n v="9"/>
    <s v="Media Management"/>
    <x v="35"/>
    <s v="Remote Wipe Capability"/>
    <x v="2"/>
    <s v="None"/>
    <m/>
    <x v="3"/>
  </r>
  <r>
    <s v="Protect"/>
    <n v="9"/>
    <s v="Media Management"/>
    <x v="35"/>
    <s v="Remote Wipe Capability"/>
    <x v="3"/>
    <n v="5"/>
    <s v="Advanced"/>
    <x v="2"/>
  </r>
  <r>
    <s v="Protect"/>
    <n v="10"/>
    <s v="Environmental Security"/>
    <x v="36"/>
    <s v="Equipment Location"/>
    <x v="0"/>
    <s v="None"/>
    <m/>
    <x v="3"/>
  </r>
  <r>
    <s v="Protect"/>
    <n v="10"/>
    <s v="Environmental Security"/>
    <x v="36"/>
    <s v="Equipment Location"/>
    <x v="1"/>
    <s v="None"/>
    <m/>
    <x v="3"/>
  </r>
  <r>
    <s v="Protect"/>
    <n v="10"/>
    <s v="Environmental Security"/>
    <x v="36"/>
    <s v="Equipment Location"/>
    <x v="2"/>
    <n v="1"/>
    <s v="Equipment on premise and with third parties is sited and protected to reduce the risks from physical and environmental threats and hazards."/>
    <x v="0"/>
  </r>
  <r>
    <s v="Protect"/>
    <n v="10"/>
    <s v="Environmental Security"/>
    <x v="36"/>
    <s v="Equipment Location"/>
    <x v="2"/>
    <n v="2"/>
    <s v="Network and connectivity cabling is resilient, and protected from interception, interference or damage with redundancy in place."/>
    <x v="0"/>
  </r>
  <r>
    <s v="Protect"/>
    <n v="10"/>
    <s v="Environmental Security"/>
    <x v="36"/>
    <s v="Equipment Location"/>
    <x v="3"/>
    <n v="5"/>
    <s v="Partial Advanced"/>
    <x v="2"/>
  </r>
  <r>
    <s v="Protect"/>
    <n v="10"/>
    <s v="Environmental Security"/>
    <x v="37"/>
    <s v="Power Resilience"/>
    <x v="0"/>
    <s v="None"/>
    <m/>
    <x v="3"/>
  </r>
  <r>
    <s v="Protect"/>
    <n v="10"/>
    <s v="Environmental Security"/>
    <x v="37"/>
    <s v="Power Resilience"/>
    <x v="1"/>
    <s v="None"/>
    <m/>
    <x v="3"/>
  </r>
  <r>
    <s v="Protect"/>
    <n v="10"/>
    <s v="Environmental Security"/>
    <x v="37"/>
    <s v="Power Resilience"/>
    <x v="2"/>
    <n v="1"/>
    <s v="Dependencies on supporting infrastructure (e.g. power, cooling) are identified and recorded."/>
    <x v="0"/>
  </r>
  <r>
    <s v="Protect"/>
    <n v="10"/>
    <s v="Environmental Security"/>
    <x v="37"/>
    <s v="Power Resilience"/>
    <x v="2"/>
    <n v="2"/>
    <s v="Equipment is protected from power failures and other disruptions caused by failures in supporting utilities such as telecommunications with redundancy in place."/>
    <x v="0"/>
  </r>
  <r>
    <s v="Protect"/>
    <n v="10"/>
    <s v="Environmental Security"/>
    <x v="37"/>
    <s v="Power Resilience"/>
    <x v="3"/>
    <n v="5"/>
    <s v="Advanced"/>
    <x v="2"/>
  </r>
  <r>
    <s v="Protect"/>
    <n v="11"/>
    <s v="Physical/building security"/>
    <x v="38"/>
    <s v="Access Control"/>
    <x v="0"/>
    <s v="None"/>
    <m/>
    <x v="3"/>
  </r>
  <r>
    <s v="Protect"/>
    <n v="11"/>
    <s v="Physical/building security"/>
    <x v="38"/>
    <s v="Access Control"/>
    <x v="1"/>
    <n v="1"/>
    <s v="Appropriately secure accommodation, and appropriate policies and practices governing its use, are in place to protect personnel, hardware, programs, networks and data from loss, damage or compromise."/>
    <x v="0"/>
  </r>
  <r>
    <s v="Protect"/>
    <n v="11"/>
    <s v="Physical/building security"/>
    <x v="38"/>
    <s v="Access Control"/>
    <x v="1"/>
    <s v="PCI-DSS"/>
    <s v="•_x0009_Appropriate facility entry controls are used to limit and monitor physical access to systems._x000a_•_x0009_Procedures are in place to easily distinguish between onsite personnel and visitors._x000a_•_x0009_All visitors are authorized before entering secure areas; given a physical badge or token that expires and that identifies visitors as not onsite personnel; and are asked to surrender the physical badge or token before leaving the facility or at the date of expiration._x000a_•_x0009_A visitor log is used to maintain a physical audit trail of visitor information and activity, including visitor name and company and the onsite personnel authorising physical access. The visitor log is retained for at least three months unless otherwise restricted by law."/>
    <x v="0"/>
  </r>
  <r>
    <s v="Protect"/>
    <n v="11"/>
    <s v="Physical/building security"/>
    <x v="38"/>
    <s v="Access Control"/>
    <x v="2"/>
    <n v="1"/>
    <s v="Delivery and loading areas and other access points are controlled."/>
    <x v="0"/>
  </r>
  <r>
    <s v="Protect"/>
    <n v="11"/>
    <s v="Physical/building security"/>
    <x v="38"/>
    <s v="Access Control"/>
    <x v="3"/>
    <n v="5"/>
    <s v="Advanced"/>
    <x v="2"/>
  </r>
  <r>
    <s v="Protect"/>
    <n v="11"/>
    <s v="Physical/building security"/>
    <x v="39"/>
    <s v="Internal Security"/>
    <x v="0"/>
    <s v="None"/>
    <m/>
    <x v="3"/>
  </r>
  <r>
    <s v="Protect"/>
    <n v="11"/>
    <s v="Physical/building security"/>
    <x v="39"/>
    <s v="Internal Security"/>
    <x v="1"/>
    <n v="1"/>
    <s v="Secure accommodation areas are defined and segregated to protect areas that contain either sensitive data or information processing facilities."/>
    <x v="0"/>
  </r>
  <r>
    <s v="Protect"/>
    <n v="11"/>
    <s v="Physical/building security"/>
    <x v="39"/>
    <s v="Internal Security"/>
    <x v="1"/>
    <n v="2"/>
    <s v="Appropriate policies and practices governing use of the secure accommodation and access are in place."/>
    <x v="0"/>
  </r>
  <r>
    <s v="Protect"/>
    <n v="11"/>
    <s v="Physical/building security"/>
    <x v="39"/>
    <s v="Internal Security"/>
    <x v="2"/>
    <n v="1"/>
    <s v="Secure areas are protected by entry controls to ensure that only authorised personnel are allowed access."/>
    <x v="0"/>
  </r>
  <r>
    <s v="Protect"/>
    <n v="11"/>
    <s v="Physical/building security"/>
    <x v="39"/>
    <s v="Internal Security"/>
    <x v="2"/>
    <n v="2"/>
    <s v="Physical security for offices, rooms and facilities shall be defined and implemented; to include, for example, intruder detection, fire and flood alarms and alerting systems."/>
    <x v="0"/>
  </r>
  <r>
    <s v="Protect"/>
    <n v="11"/>
    <s v="Physical/building security"/>
    <x v="39"/>
    <s v="Internal Security"/>
    <x v="3"/>
    <n v="5"/>
    <s v="Advanced"/>
    <x v="2"/>
  </r>
  <r>
    <s v="Protect"/>
    <n v="12"/>
    <s v="System Management"/>
    <x v="40"/>
    <s v="Secure Configuration"/>
    <x v="0"/>
    <n v="1"/>
    <s v="Unnecessary user accounts (e.g. Guest accounts and unnecessary administrative accounts) should be removed or disabled."/>
    <x v="0"/>
  </r>
  <r>
    <s v="Protect"/>
    <n v="12"/>
    <s v="System Management"/>
    <x v="40"/>
    <s v="Secure Configuration"/>
    <x v="0"/>
    <n v="2"/>
    <s v="Any default password for a user account should be changed to an alternative, strong password."/>
    <x v="0"/>
  </r>
  <r>
    <s v="Protect"/>
    <n v="12"/>
    <s v="System Management"/>
    <x v="40"/>
    <s v="Secure Configuration"/>
    <x v="0"/>
    <n v="3"/>
    <s v="Unnecessary software (including application, system utilities and network services) should be removed or disabled."/>
    <x v="0"/>
  </r>
  <r>
    <s v="Protect"/>
    <n v="12"/>
    <s v="System Management"/>
    <x v="40"/>
    <s v="Secure Configuration"/>
    <x v="0"/>
    <n v="4"/>
    <s v="The auto-run feature should be disabled (to prevent software programs running automatically when removable storage media is connected to a computer or when network folders are accessed)."/>
    <x v="0"/>
  </r>
  <r>
    <s v="Protect"/>
    <n v="12"/>
    <s v="System Management"/>
    <x v="40"/>
    <s v="Secure Configuration"/>
    <x v="0"/>
    <n v="5"/>
    <s v="A personal firewall (or equivalent) should be enabled on desktop PCs and laptops, and configured to disable (block) unapproved connections by default."/>
    <x v="0"/>
  </r>
  <r>
    <s v="Protect"/>
    <n v="12"/>
    <s v="System Management"/>
    <x v="40"/>
    <s v="Secure Configuration"/>
    <x v="1"/>
    <n v="1"/>
    <s v="A secure baseline build is implemented for all systems, platforms and components, including hardware and software to reduce the level of inherent vulnerability."/>
    <x v="0"/>
  </r>
  <r>
    <s v="Protect"/>
    <n v="12"/>
    <s v="System Management"/>
    <x v="40"/>
    <s v="Secure Configuration"/>
    <x v="1"/>
    <n v="2"/>
    <s v="Any functionality or application, services or ports not required to support a user or business need is removed or disabled. "/>
    <x v="0"/>
  </r>
  <r>
    <s v="Protect"/>
    <n v="12"/>
    <s v="System Management"/>
    <x v="40"/>
    <s v="Secure Configuration"/>
    <x v="1"/>
    <n v="3"/>
    <s v="The secure build profile is managed by a configuration control process and any deviation from the standard build is documented and approved."/>
    <x v="0"/>
  </r>
  <r>
    <s v="Protect"/>
    <n v="12"/>
    <s v="System Management"/>
    <x v="40"/>
    <s v="Secure Configuration"/>
    <x v="1"/>
    <s v="PSN"/>
    <s v="•_x0009_Configuration control of applications installed and technology is in place. All changes and new applications are recorded and managed, including a formal approval and documentation process. _x000a_•_x0009_Devices, systems and services have the capability to detect, isolate and respond to malicious software._x000a_•_x0009_The underlying infrastructure and platform are secure. This includes verification that the hosting environment is maintained securely."/>
    <x v="3"/>
  </r>
  <r>
    <s v="Protect"/>
    <n v="12"/>
    <s v="System Management"/>
    <x v="40"/>
    <s v="Secure Configuration"/>
    <x v="2"/>
    <n v="1"/>
    <s v="Network and system configurations changes are managed, secure and documented."/>
    <x v="0"/>
  </r>
  <r>
    <s v="Protect"/>
    <n v="12"/>
    <s v="System Management"/>
    <x v="40"/>
    <s v="Secure Configuration"/>
    <x v="2"/>
    <n v="2"/>
    <s v="Network and information systems are regularly reviewed and validated to ensure that they have the expected, secured settings and configuration."/>
    <x v="0"/>
  </r>
  <r>
    <s v="Protect"/>
    <n v="12"/>
    <s v="System Management"/>
    <x v="40"/>
    <s v="Secure Configuration"/>
    <x v="2"/>
    <n v="3"/>
    <s v="There are regular reviews and updates to technical knowledge about networks and information systems, such as documentation and network diagrams, and these are securely stored."/>
    <x v="0"/>
  </r>
  <r>
    <s v="Protect"/>
    <n v="12"/>
    <s v="System Management"/>
    <x v="40"/>
    <s v="Secure Configuration"/>
    <x v="2"/>
    <n v="4"/>
    <s v="Only permitted software can be installed and standard users cannot change settings that would impact security or business operation."/>
    <x v="0"/>
  </r>
  <r>
    <s v="Protect"/>
    <n v="12"/>
    <s v="System Management"/>
    <x v="40"/>
    <s v="Secure Configuration"/>
    <x v="3"/>
    <n v="5"/>
    <s v="Advanced"/>
    <x v="2"/>
  </r>
  <r>
    <s v="Protect"/>
    <n v="12"/>
    <s v="System Management"/>
    <x v="41"/>
    <s v="Secure Design / Development"/>
    <x v="0"/>
    <s v="None"/>
    <m/>
    <x v="3"/>
  </r>
  <r>
    <s v="Protect"/>
    <n v="12"/>
    <s v="System Management"/>
    <x v="41"/>
    <s v="Secure Design / Development"/>
    <x v="1"/>
    <s v="PCI-DSS"/>
    <s v="•_x0009_Software applications (internal and external, and including web-based administrative access) are developed in accordance with PCI DSS and based on industry best practices. _x000a_•_x0009_Information security is embedded throughout the software development life cycle._x000a_•_x0009_Change control processes and procedures are followed for all changes to system components._x000a_•_x0009_Applications are developed based on secure coding guidelines and custom application code is reviewed to identify coding vulnerabilities. _x000a_•_x0009_All public-facing web applications are protected against known attacks, either by performing code vulnerability reviews at least annually or by installing a web application firewall in front of public-facing web applications."/>
    <x v="0"/>
  </r>
  <r>
    <s v="Protect"/>
    <n v="12"/>
    <s v="System Management"/>
    <x v="41"/>
    <s v="Secure Design / Development"/>
    <x v="2"/>
    <n v="1"/>
    <s v="A secure development policy with guidance is in place that defines rules for the development of software and systems and is applied."/>
    <x v="1"/>
  </r>
  <r>
    <s v="Protect"/>
    <n v="12"/>
    <s v="System Management"/>
    <x v="41"/>
    <s v="Secure Design / Development"/>
    <x v="2"/>
    <n v="2"/>
    <s v="Appropriate procedures shall be implemented to ensure compliance with legislative, regulatory and contractual requirements related to intellectual property rights and use of proprietary software products."/>
    <x v="1"/>
  </r>
  <r>
    <s v="Protect"/>
    <n v="12"/>
    <s v="System Management"/>
    <x v="41"/>
    <s v="Secure Design / Development"/>
    <x v="2"/>
    <n v="3"/>
    <s v="The organisation shall supervise and monitor the activity of outsourced system development."/>
    <x v="0"/>
  </r>
  <r>
    <s v="Protect"/>
    <n v="12"/>
    <s v="System Management"/>
    <x v="41"/>
    <s v="Secure Design / Development"/>
    <x v="2"/>
    <n v="4"/>
    <s v="Change control procedures are in place to manage the development lifecycle."/>
    <x v="0"/>
  </r>
  <r>
    <s v="Protect"/>
    <n v="12"/>
    <s v="System Management"/>
    <x v="41"/>
    <s v="Secure Design / Development"/>
    <x v="2"/>
    <n v="5"/>
    <s v="Appropriate expertise is employed to design and review network and information systems."/>
    <x v="0"/>
  </r>
  <r>
    <s v="Protect"/>
    <n v="12"/>
    <s v="System Management"/>
    <x v="41"/>
    <s v="Secure Design / Development"/>
    <x v="2"/>
    <n v="6"/>
    <s v="Network information systems and sensitive data are segregated into appropriate security zones (e.g. operational systems for the essential service are segregated in a highly trusted, more secure zone)."/>
    <x v="1"/>
  </r>
  <r>
    <s v="Protect"/>
    <n v="12"/>
    <s v="System Management"/>
    <x v="41"/>
    <s v="Secure Design / Development"/>
    <x v="2"/>
    <n v="7"/>
    <s v="The networks and information systems are designed to have simple data flows between components to support effective security monitoring."/>
    <x v="1"/>
  </r>
  <r>
    <s v="Protect"/>
    <n v="12"/>
    <s v="System Management"/>
    <x v="41"/>
    <s v="Secure Design / Development"/>
    <x v="2"/>
    <n v="8"/>
    <s v="The networks and information systems are designed to be easy to recover."/>
    <x v="0"/>
  </r>
  <r>
    <s v="Protect"/>
    <n v="12"/>
    <s v="System Management"/>
    <x v="41"/>
    <s v="Secure Design / Development"/>
    <x v="3"/>
    <n v="4"/>
    <s v="Partial Advanced"/>
    <x v="2"/>
  </r>
  <r>
    <s v="Protect"/>
    <n v="12"/>
    <s v="System Management"/>
    <x v="42"/>
    <s v="Change Control Procedures"/>
    <x v="0"/>
    <s v="None"/>
    <m/>
    <x v="3"/>
  </r>
  <r>
    <s v="Protect"/>
    <n v="12"/>
    <s v="System Management"/>
    <x v="42"/>
    <s v="Change Control Procedures"/>
    <x v="1"/>
    <n v="1"/>
    <s v="Policies that set out configuration control and change management processes for all systems are in place."/>
    <x v="0"/>
  </r>
  <r>
    <s v="Protect"/>
    <n v="12"/>
    <s v="System Management"/>
    <x v="42"/>
    <s v="Change Control Procedures"/>
    <x v="1"/>
    <n v="2"/>
    <s v="The ability of users to change configuration is restricted. Users with ‘normal’ privileges are  prevented from installing or disabling any software or services running on the system."/>
    <x v="0"/>
  </r>
  <r>
    <s v="Protect"/>
    <n v="12"/>
    <s v="System Management"/>
    <x v="42"/>
    <s v="Change Control Procedures"/>
    <x v="2"/>
    <n v="1"/>
    <s v="Modifications to software are restricted and all changes are subject to change control procedures."/>
    <x v="0"/>
  </r>
  <r>
    <s v="Protect"/>
    <n v="12"/>
    <s v="System Management"/>
    <x v="42"/>
    <s v="Change Control Procedures"/>
    <x v="2"/>
    <n v="2"/>
    <s v="Only permitted software can be installed and standard users cannot change settings that would impact security or business operation."/>
    <x v="0"/>
  </r>
  <r>
    <s v="Protect"/>
    <n v="12"/>
    <s v="System Management"/>
    <x v="42"/>
    <s v="Change Control Procedures"/>
    <x v="2"/>
    <n v="3"/>
    <s v="Change management is in place to control changes to business processes, information processing facilities and systems."/>
    <x v="0"/>
  </r>
  <r>
    <s v="Protect"/>
    <n v="12"/>
    <s v="System Management"/>
    <x v="42"/>
    <s v="Change Control Procedures"/>
    <x v="3"/>
    <n v="5"/>
    <s v="Advanced"/>
    <x v="2"/>
  </r>
  <r>
    <s v="Protect"/>
    <n v="12"/>
    <s v="System Management"/>
    <x v="43"/>
    <s v="System Testing"/>
    <x v="0"/>
    <s v="None"/>
    <m/>
    <x v="3"/>
  </r>
  <r>
    <s v="Protect"/>
    <n v="12"/>
    <s v="System Management"/>
    <x v="43"/>
    <s v="System Testing"/>
    <x v="1"/>
    <n v="1"/>
    <s v="Regular testing is undertaken to evaluate the effectiveness of security measures, including virus and malware scanning, vulnerability scanning and penetration testing."/>
    <x v="1"/>
  </r>
  <r>
    <s v="Protect"/>
    <n v="12"/>
    <s v="System Management"/>
    <x v="43"/>
    <s v="System Testing"/>
    <x v="1"/>
    <n v="2"/>
    <s v="The results of any testing and remediating action plans are recorded."/>
    <x v="1"/>
  </r>
  <r>
    <s v="Protect"/>
    <n v="12"/>
    <s v="System Management"/>
    <x v="43"/>
    <s v="System Testing"/>
    <x v="1"/>
    <s v="PSN"/>
    <s v="•_x0009_Regular IT Health Checks (ITHCs) are implemented to demonstrate that any security mechanisms put in place are ongoing and effective and identify any current vulnerability. ITHCs should normally be conducted annually, or more frequently where appropriate._x000a_•_x0009_Issues identified in the ITHC (including systemic issues) are addressed, with critical and high risks areas resolved immediately or a viable plan for resolution is agreed. Medium and Low risks may be accepted or subject to remedial action plans."/>
    <x v="3"/>
  </r>
  <r>
    <s v="Protect"/>
    <n v="12"/>
    <s v="System Management"/>
    <x v="43"/>
    <s v="System Testing"/>
    <x v="1"/>
    <s v="PCI-DSS"/>
    <s v="•_x0009_The presence of wireless access points is tested to detect unauthorized wireless access points on a quarterly basis. Typical methods are wireless network scans, physical/logical inspections of system components and infrastructure, network access control (NAC), or wireless IDS/IPS._x000a_•_x0009_External and internal penetration testing is performed at least annually and after any significant infrastructure or application upgrade or modification, including network- and application-layer penetration tests._x000a_•_x0009_Network intrusion detection systems and/or intrusion prevention systems are used to (a) monitor all traffic at the perimeter of the cardholder data environment as well as at critical points inside of the cardholder data environment, and (b) alert personnel to suspected compromises. _x000a_•_x0009_IDS/IPS engines, baselines, and signatures are kept up to date._x000a_•_x0009_File integrity monitoring tools are deployed to alert personnel to unauthorized modification of critical system files, configuration files or content files. Critical file comparisons are performed at least weekly."/>
    <x v="0"/>
  </r>
  <r>
    <s v="Protect"/>
    <n v="12"/>
    <s v="System Management"/>
    <x v="43"/>
    <s v="System Testing"/>
    <x v="2"/>
    <n v="1"/>
    <s v="Regular testing by third-parties is undertaken to identify vulnerabilities in the networks and information systems."/>
    <x v="0"/>
  </r>
  <r>
    <s v="Protect"/>
    <n v="12"/>
    <s v="System Management"/>
    <x v="43"/>
    <s v="System Testing"/>
    <x v="2"/>
    <n v="2"/>
    <s v="Penetration testing is undertaken following changes to operating systems, business applications and software development and deployment."/>
    <x v="1"/>
  </r>
  <r>
    <s v="Protect"/>
    <n v="12"/>
    <s v="System Management"/>
    <x v="43"/>
    <s v="System Testing"/>
    <x v="2"/>
    <n v="3"/>
    <s v="Test data shall be securely marked, protected and controlled."/>
    <x v="1"/>
  </r>
  <r>
    <s v="Protect"/>
    <n v="12"/>
    <s v="System Management"/>
    <x v="43"/>
    <s v="System Testing"/>
    <x v="2"/>
    <n v="4"/>
    <s v="Acceptance testing programs and related criteria shall be established for new information systems, upgrades and new versions."/>
    <x v="0"/>
  </r>
  <r>
    <s v="Protect"/>
    <n v="12"/>
    <s v="System Management"/>
    <x v="43"/>
    <s v="System Testing"/>
    <x v="3"/>
    <n v="1"/>
    <s v="Baseline"/>
    <x v="2"/>
  </r>
  <r>
    <s v="Protect"/>
    <n v="13"/>
    <s v="Operational Security"/>
    <x v="44"/>
    <s v="Malware Policies &amp; Protection"/>
    <x v="0"/>
    <n v="1"/>
    <s v="Malware protection software is: _x000a_a._x0009_installed and actively running on all computers that are connected to or capable of connecting to the internet and generates audit logs_x000a_b._x0009_kept up-to-date (e.g. at least daily, either by configuring it to update automatically or through the use of centrally managed deployment)._x000a_c._x0009_configured to _x000a_i._x0009_scan files automatically upon access (including when downloading and opening files, accessing files on removable storage media or a network folder) _x000a_ii._x0009_scan web pages when being accessed (via a web browser)._x000a_d._x0009_configured to perform regular scans of all files (e.g. daily)._x000a_e._x0009_preventing connections to malicious websites on the internet (e.g. by using website blacklisting)."/>
    <x v="0"/>
  </r>
  <r>
    <s v="Protect"/>
    <n v="13"/>
    <s v="Operational Security"/>
    <x v="44"/>
    <s v="Malware Policies &amp; Protection"/>
    <x v="1"/>
    <n v="1"/>
    <s v="Anti-malware policies and standards are developed and implemented across the organisational infrastructure. "/>
    <x v="0"/>
  </r>
  <r>
    <s v="Protect"/>
    <n v="13"/>
    <s v="Operational Security"/>
    <x v="44"/>
    <s v="Malware Policies &amp; Protection"/>
    <x v="1"/>
    <n v="2"/>
    <s v="End user device protection is in place through anti-virus software and application whitelisting."/>
    <x v="0"/>
  </r>
  <r>
    <s v="Protect"/>
    <n v="13"/>
    <s v="Operational Security"/>
    <x v="44"/>
    <s v="Malware Policies &amp; Protection"/>
    <x v="1"/>
    <n v="3"/>
    <s v="Stand-alone workstations are provided as required, equipped with appropriate anti-virus software capable of scanning the content on any type of media."/>
    <x v="0"/>
  </r>
  <r>
    <s v="Protect"/>
    <n v="13"/>
    <s v="Operational Security"/>
    <x v="44"/>
    <s v="Malware Policies &amp; Protection"/>
    <x v="2"/>
    <s v="None"/>
    <m/>
    <x v="3"/>
  </r>
  <r>
    <s v="Protect"/>
    <n v="13"/>
    <s v="Operational Security"/>
    <x v="44"/>
    <s v="Malware Policies &amp; Protection"/>
    <x v="3"/>
    <n v="5"/>
    <s v="Advanced"/>
    <x v="2"/>
  </r>
  <r>
    <s v="Protect"/>
    <n v="13"/>
    <s v="Operational Security"/>
    <x v="45"/>
    <s v="Email Security"/>
    <x v="0"/>
    <n v="1"/>
    <s v="The NCSC Active Cyber Defence (ACD) programme is implemented where appropriate and available."/>
    <x v="0"/>
  </r>
  <r>
    <s v="Protect"/>
    <n v="13"/>
    <s v="Operational Security"/>
    <x v="45"/>
    <s v="Email Security"/>
    <x v="1"/>
    <n v="1"/>
    <s v="Transport Layer Security Version 1.2 (TLS v1.2) is used for sending and receiving email securely."/>
    <x v="0"/>
  </r>
  <r>
    <s v="Protect"/>
    <n v="13"/>
    <s v="Operational Security"/>
    <x v="45"/>
    <s v="Email Security"/>
    <x v="1"/>
    <n v="2"/>
    <s v="Domain-based Message Authentication Reporting and Conformance (DMARC) is in place along with Domain Keys Identified Mail (DKIM) and Sender Policy Framework (SPF) records. "/>
    <x v="0"/>
  </r>
  <r>
    <s v="Protect"/>
    <n v="13"/>
    <s v="Operational Security"/>
    <x v="45"/>
    <s v="Email Security"/>
    <x v="1"/>
    <n v="3"/>
    <s v="Spam and malware filtering is present and DMARC is enforced on inbound email."/>
    <x v="0"/>
  </r>
  <r>
    <s v="Protect"/>
    <n v="13"/>
    <s v="Operational Security"/>
    <x v="45"/>
    <s v="Email Security"/>
    <x v="2"/>
    <s v="None"/>
    <m/>
    <x v="3"/>
  </r>
  <r>
    <s v="Protect"/>
    <n v="13"/>
    <s v="Operational Security"/>
    <x v="45"/>
    <s v="Email Security"/>
    <x v="3"/>
    <n v="5"/>
    <s v="Advanced"/>
    <x v="2"/>
  </r>
  <r>
    <s v="Protect"/>
    <n v="13"/>
    <s v="Operational Security"/>
    <x v="46"/>
    <s v="Application Security"/>
    <x v="0"/>
    <n v="1"/>
    <s v="The NCSC's Web Check service has been adopted."/>
    <x v="0"/>
  </r>
  <r>
    <s v="Protect"/>
    <n v="13"/>
    <s v="Operational Security"/>
    <x v="46"/>
    <s v="Application Security"/>
    <x v="1"/>
    <n v="1"/>
    <s v="Web applications are regularly tested for the presence of known security vulnerabilities (such as described in the top ten Open Web Application Security Project (OWASP) vulnerabilities) and common configuration errors."/>
    <x v="0"/>
  </r>
  <r>
    <s v="Protect"/>
    <n v="13"/>
    <s v="Operational Security"/>
    <x v="46"/>
    <s v="Application Security"/>
    <x v="2"/>
    <s v="None"/>
    <m/>
    <x v="3"/>
  </r>
  <r>
    <s v="Protect"/>
    <n v="13"/>
    <s v="Operational Security"/>
    <x v="46"/>
    <s v="Application Security"/>
    <x v="3"/>
    <n v="5"/>
    <s v="Advanced"/>
    <x v="2"/>
  </r>
  <r>
    <s v="Protect"/>
    <n v="13"/>
    <s v="Operational Security"/>
    <x v="47"/>
    <s v="Vulnerability Management &amp; Scanning"/>
    <x v="0"/>
    <n v="1"/>
    <s v="The NCSC Active Cyber Defence (ACD) programme is implemented where appropriate and available."/>
    <x v="0"/>
  </r>
  <r>
    <s v="Protect"/>
    <n v="13"/>
    <s v="Operational Security"/>
    <x v="47"/>
    <s v="Vulnerability Management &amp; Scanning"/>
    <x v="1"/>
    <n v="1"/>
    <s v="There is a defined policy and supporting process to identify vulnerabilities, prioritise and mitigate those vulnerabilities."/>
    <x v="0"/>
  </r>
  <r>
    <s v="Protect"/>
    <n v="13"/>
    <s v="Operational Security"/>
    <x v="47"/>
    <s v="Vulnerability Management &amp; Scanning"/>
    <x v="1"/>
    <n v="2"/>
    <s v="Regular vulnerability scans are conducted via automated vulnerability scanning tools against all networked devices and any identified vulnerabilities are remedied or managed within an agreed time frame."/>
    <x v="0"/>
  </r>
  <r>
    <s v="Protect"/>
    <n v="13"/>
    <s v="Operational Security"/>
    <x v="47"/>
    <s v="Vulnerability Management &amp; Scanning"/>
    <x v="1"/>
    <n v="3"/>
    <s v="Regular discovery scans to detect unknown devices are undertaken and any anomalous findings are investigated."/>
    <x v="1"/>
  </r>
  <r>
    <s v="Protect"/>
    <n v="13"/>
    <s v="Operational Security"/>
    <x v="47"/>
    <s v="Vulnerability Management &amp; Scanning"/>
    <x v="1"/>
    <n v="4"/>
    <s v="Antivirus and malicious code checking solutions are deployed to scan inbound and outbound objects at the network perimeter. Any suspicious or infected malicious objects are quarantined for further analysis."/>
    <x v="0"/>
  </r>
  <r>
    <s v="Protect"/>
    <n v="13"/>
    <s v="Operational Security"/>
    <x v="47"/>
    <s v="Vulnerability Management &amp; Scanning"/>
    <x v="1"/>
    <s v="PCI-DSS"/>
    <s v="•_x0009_Internal and external network vulnerability scans are run at least quarterly and after any significant change in the network. _x000a_•_x0009_Quarterly external scans are performed by an Approved Scanning Vendor (ASV)._x000a_•_x0009_Scans conducted after network changes are performed by internal staff._x000a_•_x0009_File integrity monitoring tools are deployed to alert personnel to unauthorised modification of critical system files, configuration files or content files. The software is configured to perform critical file comparisons at least weekly."/>
    <x v="1"/>
  </r>
  <r>
    <s v="Protect"/>
    <n v="13"/>
    <s v="Operational Security"/>
    <x v="47"/>
    <s v="Vulnerability Management &amp; Scanning"/>
    <x v="2"/>
    <n v="1"/>
    <s v="Information about vulnerabilities for all software packages, network equipment and operating systems is obtained in a timely fashion."/>
    <x v="0"/>
  </r>
  <r>
    <s v="Protect"/>
    <n v="13"/>
    <s v="Operational Security"/>
    <x v="47"/>
    <s v="Vulnerability Management &amp; Scanning"/>
    <x v="2"/>
    <n v="2"/>
    <s v="Vulnerabilities are prioritised and subject to a risk assessment to determine the organisation’s exposure and vulnerability. "/>
    <x v="1"/>
  </r>
  <r>
    <s v="Protect"/>
    <n v="13"/>
    <s v="Operational Security"/>
    <x v="47"/>
    <s v="Vulnerability Management &amp; Scanning"/>
    <x v="2"/>
    <n v="3"/>
    <s v="Selected threat intelligence feeds are in place to enable risk-based and threat-informed decisions based on  business needs."/>
    <x v="0"/>
  </r>
  <r>
    <s v="Protect"/>
    <n v="13"/>
    <s v="Operational Security"/>
    <x v="47"/>
    <s v="Vulnerability Management &amp; Scanning"/>
    <x v="3"/>
    <n v="2"/>
    <s v="Partial Target"/>
    <x v="2"/>
  </r>
  <r>
    <s v="Protect"/>
    <n v="13"/>
    <s v="Operational Security"/>
    <x v="48"/>
    <s v="Data Exfiltration Monitoring"/>
    <x v="0"/>
    <s v="None"/>
    <m/>
    <x v="3"/>
  </r>
  <r>
    <s v="Protect"/>
    <n v="13"/>
    <s v="Operational Security"/>
    <x v="48"/>
    <s v="Data Exfiltration Monitoring"/>
    <x v="1"/>
    <n v="1"/>
    <s v="Network traffic, services and content is limited to that required to support business need (for example, by setting effective firewall rule sets)."/>
    <x v="0"/>
  </r>
  <r>
    <s v="Protect"/>
    <n v="13"/>
    <s v="Operational Security"/>
    <x v="48"/>
    <s v="Data Exfiltration Monitoring"/>
    <x v="1"/>
    <n v="2"/>
    <s v="Inbound and outbound traffic traversing network boundaries is monitored to identify unusual large data transfers which automatically generate security alerts that are promptly managed by appropriately trained staff."/>
    <x v="0"/>
  </r>
  <r>
    <s v="Protect"/>
    <n v="13"/>
    <s v="Operational Security"/>
    <x v="48"/>
    <s v="Data Exfiltration Monitoring"/>
    <x v="2"/>
    <s v="None"/>
    <m/>
    <x v="3"/>
  </r>
  <r>
    <s v="Protect"/>
    <n v="13"/>
    <s v="Operational Security"/>
    <x v="48"/>
    <s v="Data Exfiltration Monitoring"/>
    <x v="3"/>
    <n v="2"/>
    <s v="Partial Target"/>
    <x v="2"/>
  </r>
  <r>
    <s v="Protect"/>
    <n v="13"/>
    <s v="Operational Security"/>
    <x v="49"/>
    <s v="Software Supported &amp; Updated"/>
    <x v="0"/>
    <n v="1"/>
    <s v="Software running on computers and network devices is kept up-to-date and has the latest security patches installed. Specifically:_x000a_a)_x0009_Software running on computers and network devices that are connected to or capable of connecting to the internet is licensed and supported (by the software vendor or supplier of the software) to ensure security patches for known vulnerabilities are made available._x000a_b)_x0009_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_x000a_c)_x0009_Out-of-date software (i.e. software that is no longer supported) is removed from computer and network devices that are connected to or capable of connecting to the internet._x000a_d)_x0009_All security patches for software running on computers and network devices that are connected to or capable of connecting to the internet is installed in a timely manner (e.g. within 14 days of release or automatically when available from vendors)."/>
    <x v="0"/>
  </r>
  <r>
    <s v="Protect"/>
    <n v="13"/>
    <s v="Operational Security"/>
    <x v="49"/>
    <s v="Software Supported &amp; Updated"/>
    <x v="1"/>
    <n v="1"/>
    <s v="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
    <x v="0"/>
  </r>
  <r>
    <s v="Protect"/>
    <n v="13"/>
    <s v="Operational Security"/>
    <x v="49"/>
    <s v="Software Supported &amp; Updated"/>
    <x v="1"/>
    <n v="2"/>
    <s v="Where a patch is not available or cannot be deployed within the timescales above, there are alternative mitigating actions in place, such as disabling or reducing access to the vulnerable service."/>
    <x v="0"/>
  </r>
  <r>
    <s v="Protect"/>
    <n v="13"/>
    <s v="Operational Security"/>
    <x v="49"/>
    <s v="Software Supported &amp; Updated"/>
    <x v="2"/>
    <n v="1"/>
    <s v="You maximise the use of supported software, firmware and hardware in your networks and information systems."/>
    <x v="0"/>
  </r>
  <r>
    <s v="Protect"/>
    <n v="13"/>
    <s v="Operational Security"/>
    <x v="49"/>
    <s v="Software Supported &amp; Updated"/>
    <x v="3"/>
    <n v="5"/>
    <s v="Advanced"/>
    <x v="2"/>
  </r>
  <r>
    <s v="Protect"/>
    <n v="13"/>
    <s v="Operational Security"/>
    <x v="50"/>
    <s v="Website Screening"/>
    <x v="0"/>
    <n v="1"/>
    <s v="Malware protection software is in place to prevent connections to known malicious websites on the internet (e.g. by using website blacklisting)."/>
    <x v="0"/>
  </r>
  <r>
    <s v="Protect"/>
    <n v="13"/>
    <s v="Operational Security"/>
    <x v="50"/>
    <s v="Website Screening"/>
    <x v="1"/>
    <s v="None"/>
    <m/>
    <x v="3"/>
  </r>
  <r>
    <s v="Protect"/>
    <n v="13"/>
    <s v="Operational Security"/>
    <x v="50"/>
    <s v="Website Screening"/>
    <x v="2"/>
    <s v="None"/>
    <m/>
    <x v="3"/>
  </r>
  <r>
    <s v="Protect"/>
    <n v="13"/>
    <s v="Operational Security"/>
    <x v="50"/>
    <s v="Website Screening"/>
    <x v="3"/>
    <n v="5"/>
    <s v="Advanced"/>
    <x v="2"/>
  </r>
  <r>
    <s v="Protect"/>
    <n v="13"/>
    <s v="Operational Security"/>
    <x v="51"/>
    <s v="Browser Management"/>
    <x v="0"/>
    <s v="None"/>
    <m/>
    <x v="3"/>
  </r>
  <r>
    <s v="Protect"/>
    <n v="13"/>
    <s v="Operational Security"/>
    <x v="51"/>
    <s v="Browser Management"/>
    <x v="1"/>
    <n v="1"/>
    <s v="Deploy a content filtering capability on all external gateways to try to prevent attackers delivering malicious code to common desktop applications such as the web browser."/>
    <x v="0"/>
  </r>
  <r>
    <s v="Protect"/>
    <n v="13"/>
    <s v="Operational Security"/>
    <x v="51"/>
    <s v="Browser Management"/>
    <x v="1"/>
    <n v="2"/>
    <s v="Browsers are kept current and configured to mitigate against code exploits."/>
    <x v="0"/>
  </r>
  <r>
    <s v="Protect"/>
    <n v="13"/>
    <s v="Operational Security"/>
    <x v="51"/>
    <s v="Browser Management"/>
    <x v="1"/>
    <n v="3"/>
    <s v="Unnecessary browser plugins or scripting languages are disabled."/>
    <x v="0"/>
  </r>
  <r>
    <s v="Protect"/>
    <n v="13"/>
    <s v="Operational Security"/>
    <x v="51"/>
    <s v="Browser Management"/>
    <x v="2"/>
    <s v="None"/>
    <m/>
    <x v="3"/>
  </r>
  <r>
    <s v="Protect"/>
    <n v="13"/>
    <s v="Operational Security"/>
    <x v="51"/>
    <s v="Browser Management"/>
    <x v="3"/>
    <n v="5"/>
    <s v="Advanced"/>
    <x v="2"/>
  </r>
  <r>
    <s v="Protect"/>
    <n v="13"/>
    <s v="Operational Security"/>
    <x v="52"/>
    <s v="Monitor / Audit User Activity"/>
    <x v="0"/>
    <s v="None"/>
    <m/>
    <x v="3"/>
  </r>
  <r>
    <s v="Protect"/>
    <n v="13"/>
    <s v="Operational Security"/>
    <x v="52"/>
    <s v="Monitor / Audit User Activity"/>
    <x v="1"/>
    <n v="1"/>
    <s v="All user access and activity is monitored, particularly access to sensitive information and the use of privileged account actions."/>
    <x v="1"/>
  </r>
  <r>
    <s v="Protect"/>
    <n v="13"/>
    <s v="Operational Security"/>
    <x v="52"/>
    <s v="Monitor / Audit User Activity"/>
    <x v="1"/>
    <n v="2"/>
    <s v="The monitoring capability has the ability to identify unauthorised or accidental misuse of systems or data. It is able to tie specific users to suspicious activity."/>
    <x v="1"/>
  </r>
  <r>
    <s v="Protect"/>
    <n v="13"/>
    <s v="Operational Security"/>
    <x v="52"/>
    <s v="Monitor / Audit User Activity"/>
    <x v="1"/>
    <n v="3"/>
    <s v="Activities that are outside of normal, expected bounds; policy violation;  suspicious or undesirable behaviour (such as access to large amounts of sensitive information outside of standard working hours) are recorded and investigated."/>
    <x v="1"/>
  </r>
  <r>
    <s v="Protect"/>
    <n v="13"/>
    <s v="Operational Security"/>
    <x v="52"/>
    <s v="Monitor / Audit User Activity"/>
    <x v="1"/>
    <s v="PCI-DSS"/>
    <s v="•_x0009_An automated audit trails system is in place for all system components for reconstructing these events:_x000a_a)_x0009_all individual user accesses to cardholder data; _x000a_b)_x0009_all actions taken by any individual with root or administrative privileges; _x000a_c)_x0009_access to all audit trails; _x000a_d)_x0009_invalid logical access attempts; _x000a_e)_x0009_use of identification and authentication mechanisms; _x000a_f)_x0009_initialisation of the audit logs; _x000a_g)_x0009_creation and deletion of system-level objects._x000a__x000a_•_x0009_Audit trail entries are recorded for all system components for each event, including at a minimum: user identification, type of event, date and time, success or failure indication, origination of event, and identity or name of affected data, system component or resource._x000a_•_x0009_All critical system clocks and times are synchronised with controls for acquiring, distributing, and storing time._x000a_•_x0009_Audit trails are secured so they cannot be altered._x000a_•_x0009_Logs for all system components related to security functions are reviewed at least daily._x000a_•_x0009_Audit trail history is retained for at least one year; at least three months of history is immediately available for analysis."/>
    <x v="3"/>
  </r>
  <r>
    <s v="Protect"/>
    <n v="13"/>
    <s v="Operational Security"/>
    <x v="52"/>
    <s v="Monitor / Audit User Activity"/>
    <x v="2"/>
    <n v="1"/>
    <s v="All user’s access is logged and monitored for offline analysis and investigation as required."/>
    <x v="1"/>
  </r>
  <r>
    <s v="Protect"/>
    <n v="13"/>
    <s v="Operational Security"/>
    <x v="52"/>
    <s v="Monitor / Audit User Activity"/>
    <x v="2"/>
    <n v="2"/>
    <s v="Logging facilities and log information shall be protected against tampering and unauthorised access. "/>
    <x v="1"/>
  </r>
  <r>
    <s v="Protect"/>
    <n v="13"/>
    <s v="Operational Security"/>
    <x v="52"/>
    <s v="Monitor / Audit User Activity"/>
    <x v="2"/>
    <n v="3"/>
    <s v="All actions involving all logging data (e.g. copying, deleting or modification, or even viewing) can be traced back to a unique user."/>
    <x v="1"/>
  </r>
  <r>
    <s v="Protect"/>
    <n v="13"/>
    <s v="Operational Security"/>
    <x v="52"/>
    <s v="Monitor / Audit User Activity"/>
    <x v="2"/>
    <n v="4"/>
    <s v="Audit logs recording user activities, exceptions, faults and information security events are created, maintained securely and regularly reviewed."/>
    <x v="1"/>
  </r>
  <r>
    <s v="Protect"/>
    <n v="13"/>
    <s v="Operational Security"/>
    <x v="52"/>
    <s v="Monitor / Audit User Activity"/>
    <x v="2"/>
    <n v="5"/>
    <s v="Attempts by unauthorised users to connect to systems are alerted, promptly assessed and investigated where relevant."/>
    <x v="1"/>
  </r>
  <r>
    <s v="Protect"/>
    <n v="13"/>
    <s v="Operational Security"/>
    <x v="52"/>
    <s v="Monitor / Audit User Activity"/>
    <x v="3"/>
    <n v="1"/>
    <s v="Baseline"/>
    <x v="2"/>
  </r>
  <r>
    <s v="Protect"/>
    <n v="13"/>
    <s v="Operational Security"/>
    <x v="53"/>
    <s v="Disabled Auto-Run"/>
    <x v="0"/>
    <n v="1"/>
    <s v="The auto-run feature is disabled (to prevent software programs running automatically when removable storage media is connected to a computer or when network folders are accessed)."/>
    <x v="0"/>
  </r>
  <r>
    <s v="Protect"/>
    <n v="13"/>
    <s v="Operational Security"/>
    <x v="53"/>
    <s v="Disabled Auto-Run"/>
    <x v="1"/>
    <s v="None"/>
    <m/>
    <x v="3"/>
  </r>
  <r>
    <s v="Protect"/>
    <n v="13"/>
    <s v="Operational Security"/>
    <x v="53"/>
    <s v="Disabled Auto-Run"/>
    <x v="2"/>
    <m/>
    <m/>
    <x v="3"/>
  </r>
  <r>
    <s v="Protect"/>
    <n v="13"/>
    <s v="Operational Security"/>
    <x v="53"/>
    <s v="Disabled Auto-Run"/>
    <x v="3"/>
    <n v="5"/>
    <s v="Advanced"/>
    <x v="2"/>
  </r>
  <r>
    <s v="Protect"/>
    <n v="14"/>
    <s v="Network Security"/>
    <x v="54"/>
    <s v="Patch Management"/>
    <x v="0"/>
    <n v="1"/>
    <s v="All security patches for software running on computers and network devices that are connected to or capable of connecting to the internet are installed in a timely manner (e.g. within 14 days of release or automatically when available from vendors)."/>
    <x v="0"/>
  </r>
  <r>
    <s v="Protect"/>
    <n v="14"/>
    <s v="Network Security"/>
    <x v="54"/>
    <s v="Patch Management"/>
    <x v="1"/>
    <n v="1"/>
    <s v="There is a defined policy and supporting process to identify vulnerabilities, prioritise and mitigate those vulnerabilities. The policy specifies specific patch application periods and a process for auditing compliance."/>
    <x v="0"/>
  </r>
  <r>
    <s v="Protect"/>
    <n v="14"/>
    <s v="Network Security"/>
    <x v="54"/>
    <s v="Patch Management"/>
    <x v="1"/>
    <n v="2"/>
    <s v="Critical vulnerabilities are patched within 14 days, important vulnerabilities patched within 30 days and all others patched within 60 days. "/>
    <x v="0"/>
  </r>
  <r>
    <s v="Protect"/>
    <n v="14"/>
    <s v="Network Security"/>
    <x v="54"/>
    <s v="Patch Management"/>
    <x v="1"/>
    <n v="3"/>
    <s v="Where a vulnerability is being actively exploited then mitigating action (e.g. patch applied) is immediately taken."/>
    <x v="0"/>
  </r>
  <r>
    <s v="Protect"/>
    <n v="14"/>
    <s v="Network Security"/>
    <x v="54"/>
    <s v="Patch Management"/>
    <x v="1"/>
    <n v="4"/>
    <s v="Where a patch is not deployed (or available) within the timescales above there is alternative mitigating actions employed, such as disabling or reducing access to the vulnerable service."/>
    <x v="0"/>
  </r>
  <r>
    <s v="Protect"/>
    <n v="14"/>
    <s v="Network Security"/>
    <x v="54"/>
    <s v="Patch Management"/>
    <x v="2"/>
    <s v="None"/>
    <m/>
    <x v="3"/>
  </r>
  <r>
    <s v="Protect"/>
    <n v="14"/>
    <s v="Network Security"/>
    <x v="54"/>
    <s v="Patch Management"/>
    <x v="3"/>
    <n v="5"/>
    <s v="Advanced"/>
    <x v="2"/>
  </r>
  <r>
    <s v="Protect"/>
    <n v="14"/>
    <s v="Network Security"/>
    <x v="55"/>
    <s v="Device Management"/>
    <x v="0"/>
    <s v="None"/>
    <m/>
    <x v="3"/>
  </r>
  <r>
    <s v="Protect"/>
    <n v="14"/>
    <s v="Network Security"/>
    <x v="55"/>
    <s v="Device Management"/>
    <x v="1"/>
    <n v="1"/>
    <s v="Unnecessary peripheral devices are disabled."/>
    <x v="1"/>
  </r>
  <r>
    <s v="Protect"/>
    <n v="14"/>
    <s v="Network Security"/>
    <x v="55"/>
    <s v="Device Management"/>
    <x v="1"/>
    <n v="2"/>
    <s v="All end-user devices are recorded, managed and tracked."/>
    <x v="0"/>
  </r>
  <r>
    <s v="Protect"/>
    <n v="14"/>
    <s v="Network Security"/>
    <x v="55"/>
    <s v="Device Management"/>
    <x v="1"/>
    <n v="3"/>
    <s v="Technical policies are applied and controls exerted on devices over software and applications."/>
    <x v="0"/>
  </r>
  <r>
    <s v="Protect"/>
    <n v="14"/>
    <s v="Network Security"/>
    <x v="55"/>
    <s v="Device Management"/>
    <x v="1"/>
    <n v="4"/>
    <s v="Devices used to access sensitive information and data or key operational services are authenticated and authorised."/>
    <x v="0"/>
  </r>
  <r>
    <s v="Protect"/>
    <n v="14"/>
    <s v="Network Security"/>
    <x v="55"/>
    <s v="Device Management"/>
    <x v="1"/>
    <s v="PSN"/>
    <s v="•_x0009_Unmanaged devices do not have access to the PSN. Where a corporate service contains information that has been sent over the PSN, the data owner’s permission is sought before allowing unmanaged devices to access that data. Additionally, unmanaged devices:_x000a_a)_x0009_are not able to use the corporate service to access the PSN in an unmediated fashion_x000a_b)_x0009_access the corporate service through an appropriately secured connection (e.g. via a VPN, or via a protocol that implements TLS)._x000a_c)_x0009_are authenticated prior to the information being accessed with a mechanism that does not solely rely on a username and password."/>
    <x v="3"/>
  </r>
  <r>
    <s v="Protect"/>
    <n v="14"/>
    <s v="Network Security"/>
    <x v="55"/>
    <s v="Device Management"/>
    <x v="2"/>
    <n v="1"/>
    <s v="Dedicated devices are used for privileged actions (such as administration or accessing the essential service's network and information systems). These devices are not used for directly browsing the web or accessing email."/>
    <x v="1"/>
  </r>
  <r>
    <s v="Protect"/>
    <n v="14"/>
    <s v="Network Security"/>
    <x v="55"/>
    <s v="Device Management"/>
    <x v="2"/>
    <n v="2"/>
    <s v="Device identity management which is cryptographically backed is performed and only known devices are able to access systems."/>
    <x v="1"/>
  </r>
  <r>
    <s v="Protect"/>
    <n v="14"/>
    <s v="Network Security"/>
    <x v="55"/>
    <s v="Device Management"/>
    <x v="2"/>
    <n v="3"/>
    <s v="Regular discovery scans are performed to detect unknown devices and any findings are investigated."/>
    <x v="1"/>
  </r>
  <r>
    <s v="Protect"/>
    <n v="14"/>
    <s v="Network Security"/>
    <x v="55"/>
    <s v="Device Management"/>
    <x v="2"/>
    <n v="4"/>
    <s v="Privileged access is only granted on owned and managed devices that are technically segregated and secured to the same level as the networks and systems being maintained."/>
    <x v="1"/>
  </r>
  <r>
    <s v="Protect"/>
    <n v="14"/>
    <s v="Network Security"/>
    <x v="55"/>
    <s v="Device Management"/>
    <x v="3"/>
    <n v="2"/>
    <s v="Partial Target"/>
    <x v="2"/>
  </r>
  <r>
    <s v="Protect"/>
    <n v="14"/>
    <s v="Network Security"/>
    <x v="56"/>
    <s v="Content Screening"/>
    <x v="0"/>
    <s v="None"/>
    <m/>
    <x v="3"/>
  </r>
  <r>
    <s v="Protect"/>
    <n v="14"/>
    <s v="Network Security"/>
    <x v="56"/>
    <s v="Content Screening"/>
    <x v="1"/>
    <n v="1"/>
    <s v="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
    <x v="0"/>
  </r>
  <r>
    <s v="Protect"/>
    <n v="14"/>
    <s v="Network Security"/>
    <x v="56"/>
    <s v="Content Screening"/>
    <x v="1"/>
    <n v="2"/>
    <s v="Dedicated, stand-alone media scanning machines are provided and equipped with appropriate anti-virus products capable of scanning the content contained on any type of media and inspect recursive content within files."/>
    <x v="1"/>
  </r>
  <r>
    <s v="Protect"/>
    <n v="14"/>
    <s v="Network Security"/>
    <x v="56"/>
    <s v="Content Screening"/>
    <x v="2"/>
    <s v="None"/>
    <m/>
    <x v="3"/>
  </r>
  <r>
    <s v="Protect"/>
    <n v="14"/>
    <s v="Network Security"/>
    <x v="56"/>
    <s v="Content Screening"/>
    <x v="3"/>
    <n v="2"/>
    <s v="Partial Target"/>
    <x v="2"/>
  </r>
  <r>
    <s v="Protect"/>
    <n v="14"/>
    <s v="Network Security"/>
    <x v="57"/>
    <s v="Internal Segregation"/>
    <x v="0"/>
    <s v="None"/>
    <m/>
    <x v="3"/>
  </r>
  <r>
    <s v="Protect"/>
    <n v="14"/>
    <s v="Network Security"/>
    <x v="57"/>
    <s v="Internal Segregation"/>
    <x v="1"/>
    <n v="1"/>
    <s v="Information services, sensitive data, users and information systems are segregated into appropriate security zones on networks."/>
    <x v="1"/>
  </r>
  <r>
    <s v="Protect"/>
    <n v="14"/>
    <s v="Network Security"/>
    <x v="57"/>
    <s v="Internal Segregation"/>
    <x v="1"/>
    <n v="2"/>
    <s v="Key operational systems are segregated in a highly trusted, more secure zone isolated with appropriate network security controls."/>
    <x v="1"/>
  </r>
  <r>
    <s v="Protect"/>
    <n v="14"/>
    <s v="Network Security"/>
    <x v="57"/>
    <s v="Internal Segregation"/>
    <x v="2"/>
    <n v="1"/>
    <s v="Key operational systems are segregated from other business and external systems by appropriate technical and physical means."/>
    <x v="1"/>
  </r>
  <r>
    <s v="Protect"/>
    <n v="14"/>
    <s v="Network Security"/>
    <x v="57"/>
    <s v="Internal Segregation"/>
    <x v="2"/>
    <n v="2"/>
    <s v="Development, testing, and operational environments shall be separated to reduce the risks of unauthorised access or changes to the operational environment."/>
    <x v="1"/>
  </r>
  <r>
    <s v="Protect"/>
    <n v="14"/>
    <s v="Network Security"/>
    <x v="57"/>
    <s v="Internal Segregation"/>
    <x v="2"/>
    <n v="3"/>
    <s v="Internet services are not accessible from operational systems."/>
    <x v="1"/>
  </r>
  <r>
    <s v="Protect"/>
    <n v="14"/>
    <s v="Network Security"/>
    <x v="57"/>
    <s v="Internal Segregation"/>
    <x v="2"/>
    <n v="4"/>
    <s v="Logging data is segregated from the rest of the network, and is not affected by disruption or corruption of network data."/>
    <x v="1"/>
  </r>
  <r>
    <s v="Protect"/>
    <n v="14"/>
    <s v="Network Security"/>
    <x v="57"/>
    <s v="Internal Segregation"/>
    <x v="3"/>
    <n v="0"/>
    <s v="Partial Baseline"/>
    <x v="2"/>
  </r>
  <r>
    <s v="Protect"/>
    <n v="14"/>
    <s v="Network Security"/>
    <x v="58"/>
    <s v="Wireless Security"/>
    <x v="0"/>
    <n v="1"/>
    <s v="Wireless access points are securely configured."/>
    <x v="0"/>
  </r>
  <r>
    <s v="Protect"/>
    <n v="14"/>
    <s v="Network Security"/>
    <x v="58"/>
    <s v="Wireless Security"/>
    <x v="1"/>
    <n v="1"/>
    <s v="All wireless access points only allow known devices to connect to corporate Wi-Fi services.  "/>
    <x v="0"/>
  </r>
  <r>
    <s v="Protect"/>
    <n v="14"/>
    <s v="Network Security"/>
    <x v="58"/>
    <s v="Wireless Security"/>
    <x v="1"/>
    <n v="2"/>
    <s v="Security scanning tools are in place to detect and locate unauthorised or spoof wireless access points."/>
    <x v="0"/>
  </r>
  <r>
    <s v="Protect"/>
    <n v="14"/>
    <s v="Network Security"/>
    <x v="58"/>
    <s v="Wireless Security"/>
    <x v="1"/>
    <s v="PCI-DSS"/>
    <s v="Ensure wireless networks transmitting cardholder data or connected to the cardholder data environment use industry best practices (e.g., IEEE 802.11i) to implement strong encryption."/>
    <x v="3"/>
  </r>
  <r>
    <s v="Protect"/>
    <n v="14"/>
    <s v="Network Security"/>
    <x v="58"/>
    <s v="Wireless Security"/>
    <x v="2"/>
    <s v="None"/>
    <m/>
    <x v="3"/>
  </r>
  <r>
    <s v="Protect"/>
    <n v="14"/>
    <s v="Network Security"/>
    <x v="58"/>
    <s v="Wireless Security"/>
    <x v="3"/>
    <n v="5"/>
    <s v="Advanced"/>
    <x v="2"/>
  </r>
  <r>
    <s v="Protect"/>
    <n v="14"/>
    <s v="Network Security"/>
    <x v="59"/>
    <s v="Boundary / Firewall Management"/>
    <x v="0"/>
    <n v="1"/>
    <s v="One or more firewalls (or equivalent network device) are installed on the boundary of the organisation’s internal network(s)."/>
    <x v="0"/>
  </r>
  <r>
    <s v="Protect"/>
    <n v="14"/>
    <s v="Network Security"/>
    <x v="59"/>
    <s v="Boundary / Firewall Management"/>
    <x v="0"/>
    <n v="2"/>
    <s v="The default administrative password for any firewall (or equivalent network device) is changed to an alternative, strong password."/>
    <x v="0"/>
  </r>
  <r>
    <s v="Protect"/>
    <n v="14"/>
    <s v="Network Security"/>
    <x v="59"/>
    <s v="Boundary / Firewall Management"/>
    <x v="0"/>
    <n v="3"/>
    <s v="Each rule that allows network traffic to pass through the firewall (e.g. each service on a computer that is accessible through the boundary firewall) is subject to approval by an authorised individual and documented (including an explanation of business need)."/>
    <x v="0"/>
  </r>
  <r>
    <s v="Protect"/>
    <n v="14"/>
    <s v="Network Security"/>
    <x v="59"/>
    <s v="Boundary / Firewall Management"/>
    <x v="0"/>
    <n v="4"/>
    <s v="Unapproved services, or services that are typically vulnerable to attack (such as Server Message Block (SMB), NetBIOS, tftp, RPC, rlogin, rsh or rexec), are disabled (blocked) at the boundary firewall by default."/>
    <x v="0"/>
  </r>
  <r>
    <s v="Protect"/>
    <n v="14"/>
    <s v="Network Security"/>
    <x v="59"/>
    <s v="Boundary / Firewall Management"/>
    <x v="0"/>
    <n v="5"/>
    <s v="Firewall rules that are no longer required (e.g. because a service is no longer required) are removed or disabled in a timely manner."/>
    <x v="0"/>
  </r>
  <r>
    <s v="Protect"/>
    <n v="14"/>
    <s v="Network Security"/>
    <x v="59"/>
    <s v="Boundary / Firewall Management"/>
    <x v="0"/>
    <n v="6"/>
    <s v="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x v="0"/>
  </r>
  <r>
    <s v="Protect"/>
    <n v="14"/>
    <s v="Network Security"/>
    <x v="59"/>
    <s v="Boundary / Firewall Management"/>
    <x v="1"/>
    <n v="1"/>
    <s v="The firewall rule set should deny traffic by default and a whitelist should be applied that only allows authorised protocols, ports and applications to exchange data across the boundary."/>
    <x v="0"/>
  </r>
  <r>
    <s v="Protect"/>
    <n v="14"/>
    <s v="Network Security"/>
    <x v="59"/>
    <s v="Boundary / Firewall Management"/>
    <x v="1"/>
    <s v="PCI-DSS"/>
    <s v="•_x0009_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_x000a_•_x0009_Firewall and router configurations that restrict all traffic from “untrusted” networks and hosts, except for protocols necessary for the cardholder data environment._x000a_•_x0009_Direct public access between the Internet and any system component in the cardholder data environment is prohibited._x000a_•_x0009_Personal firewall software is installed on any mobile and/or employee-owned computers with direct connectivity to the Internet that are used to access the organization’s network_x000a_•_x0009_All public-facing web applications are protected against known attacks, either by performing code vulnerability reviews at least annually or by installing a web application firewall in front of public-facing web applications."/>
    <x v="3"/>
  </r>
  <r>
    <s v="Protect"/>
    <n v="14"/>
    <s v="Network Security"/>
    <x v="59"/>
    <s v="Boundary / Firewall Management"/>
    <x v="2"/>
    <n v="1"/>
    <s v="Traffic crossing the network boundary (including IP address connections as a minimum) is monitored."/>
    <x v="0"/>
  </r>
  <r>
    <s v="Protect"/>
    <n v="14"/>
    <s v="Network Security"/>
    <x v="59"/>
    <s v="Boundary / Firewall Management"/>
    <x v="4"/>
    <s v="Advanced"/>
    <m/>
    <x v="2"/>
  </r>
  <r>
    <s v="Protect"/>
    <n v="14"/>
    <s v="Network Security"/>
    <x v="60"/>
    <s v="Administrator Control"/>
    <x v="0"/>
    <s v="None"/>
    <m/>
    <x v="3"/>
  </r>
  <r>
    <s v="Protect"/>
    <n v="14"/>
    <s v="Network Security"/>
    <x v="60"/>
    <s v="Administrator Control"/>
    <x v="1"/>
    <n v="1"/>
    <s v="Administrator access to any network component is properly authenticated and authorised. "/>
    <x v="0"/>
  </r>
  <r>
    <s v="Protect"/>
    <n v="14"/>
    <s v="Network Security"/>
    <x v="60"/>
    <s v="Administrator Control"/>
    <x v="1"/>
    <n v="2"/>
    <s v="Default administrative passwords for network equipment are changed."/>
    <x v="0"/>
  </r>
  <r>
    <s v="Protect"/>
    <n v="14"/>
    <s v="Network Security"/>
    <x v="60"/>
    <s v="Administrator Control"/>
    <x v="1"/>
    <n v="3"/>
    <s v="Changes to the authoritative DNS entries can only be made by strongly authenticated and authorised administrators."/>
    <x v="0"/>
  </r>
  <r>
    <s v="Protect"/>
    <n v="14"/>
    <s v="Network Security"/>
    <x v="60"/>
    <s v="Administrator Control"/>
    <x v="2"/>
    <n v="1"/>
    <s v="The list of system administrators is regularly reviewed, e.g. every 6 months."/>
    <x v="0"/>
  </r>
  <r>
    <s v="Protect"/>
    <n v="14"/>
    <s v="Network Security"/>
    <x v="60"/>
    <s v="Administrator Control"/>
    <x v="3"/>
    <n v="5"/>
    <s v="Advanced"/>
    <x v="2"/>
  </r>
  <r>
    <s v="Protect"/>
    <n v="14"/>
    <s v="Network Security"/>
    <x v="61"/>
    <s v="Error Message Management"/>
    <x v="0"/>
    <s v="None"/>
    <m/>
    <x v="3"/>
  </r>
  <r>
    <s v="Protect"/>
    <n v="14"/>
    <s v="Network Security"/>
    <x v="61"/>
    <s v="Error Message Management"/>
    <x v="1"/>
    <n v="1"/>
    <s v="The exception handling processes is configured to ensure that error messages returned to internal or external systems or users do not include sensitive information that may be useful to attackers."/>
    <x v="0"/>
  </r>
  <r>
    <s v="Protect"/>
    <n v="14"/>
    <s v="Network Security"/>
    <x v="61"/>
    <s v="Error Message Management"/>
    <x v="2"/>
    <s v="None"/>
    <m/>
    <x v="3"/>
  </r>
  <r>
    <s v="Protect"/>
    <n v="14"/>
    <s v="Network Security"/>
    <x v="61"/>
    <s v="Error Message Management"/>
    <x v="3"/>
    <n v="5"/>
    <s v="Advanced"/>
    <x v="2"/>
  </r>
  <r>
    <s v="Protect"/>
    <n v="14"/>
    <s v="Network Security"/>
    <x v="62"/>
    <s v="Penetration Testing"/>
    <x v="0"/>
    <s v="None"/>
    <m/>
    <x v="3"/>
  </r>
  <r>
    <s v="Protect"/>
    <n v="14"/>
    <s v="Network Security"/>
    <x v="62"/>
    <s v="Penetration Testing"/>
    <x v="1"/>
    <n v="1"/>
    <s v="Regular penetration testing for the presence of known vulnerabilities or common configuration errors is undertaken with third-parties to ensure that security controls have been well implemented and are effective."/>
    <x v="1"/>
  </r>
  <r>
    <s v="Protect"/>
    <n v="14"/>
    <s v="Network Security"/>
    <x v="62"/>
    <s v="Penetration Testing"/>
    <x v="1"/>
    <s v="PCI-DSS"/>
    <s v="Perform external and internal penetration testing, including network- and application-layer penetration tests, at least annually and after any significant infrastructure or application upgrade or modification."/>
    <x v="3"/>
  </r>
  <r>
    <s v="Protect"/>
    <n v="14"/>
    <s v="Network Security"/>
    <x v="62"/>
    <s v="Penetration Testing"/>
    <x v="1"/>
    <s v="PSN"/>
    <s v="•_x0009_Regular IT Health Checks (ITHCs) are implemented to seek evidence that any security mechanisms put in place are ongoing and effective and identify any current vulnerability. ITHCs should normally be conducted annually, but may be employed more frequently where appropriate._x000a_•_x0009_Issues identified in the ITHC (including systemic issues) are addressed. Critical and High risks are either be resolved immediately or by a viable plan for resolution. Medium and Low risks may be accepted or subject to remedial action plans."/>
    <x v="3"/>
  </r>
  <r>
    <s v="Protect"/>
    <n v="14"/>
    <s v="Network Security"/>
    <x v="62"/>
    <s v="Penetration Testing"/>
    <x v="2"/>
    <s v="None"/>
    <m/>
    <x v="3"/>
  </r>
  <r>
    <s v="Protect"/>
    <n v="14"/>
    <s v="Network Security"/>
    <x v="62"/>
    <s v="Penetration Testing"/>
    <x v="3"/>
    <n v="2"/>
    <s v="Partial Target"/>
    <x v="2"/>
  </r>
  <r>
    <s v="Protect"/>
    <n v="14"/>
    <s v="Network Security"/>
    <x v="63"/>
    <s v="IP &amp; DNS Management"/>
    <x v="0"/>
    <n v="1"/>
    <s v="The NCSC’s ACD P-DNS service is implemented where appropriate and available."/>
    <x v="3"/>
  </r>
  <r>
    <s v="Protect"/>
    <n v="14"/>
    <s v="Network Security"/>
    <x v="63"/>
    <s v="IP &amp; DNS Management"/>
    <x v="1"/>
    <n v="1"/>
    <s v="The UK Public Sector DNS Service is used to resolve internet DNS queries."/>
    <x v="3"/>
  </r>
  <r>
    <s v="Protect"/>
    <n v="14"/>
    <s v="Network Security"/>
    <x v="63"/>
    <s v="IP &amp; DNS Management"/>
    <x v="1"/>
    <n v="2"/>
    <s v="Organisational IP ranges are known and recorded."/>
    <x v="0"/>
  </r>
  <r>
    <s v="Protect"/>
    <n v="14"/>
    <s v="Network Security"/>
    <x v="63"/>
    <s v="IP &amp; DNS Management"/>
    <x v="2"/>
    <n v="1"/>
    <s v="IP address traffic crossing the network boundary are monitored."/>
    <x v="0"/>
  </r>
  <r>
    <s v="Protect"/>
    <n v="14"/>
    <s v="Network Security"/>
    <x v="63"/>
    <s v="IP &amp; DNS Management"/>
    <x v="3"/>
    <n v="5"/>
    <s v="Advanced"/>
    <x v="2"/>
  </r>
  <r>
    <s v="Detect"/>
    <n v="15"/>
    <s v="Incident Detection"/>
    <x v="64"/>
    <s v="Detection Capability"/>
    <x v="0"/>
    <s v="None"/>
    <m/>
    <x v="3"/>
  </r>
  <r>
    <s v="Detect"/>
    <n v="15"/>
    <s v="Incident Detection"/>
    <x v="64"/>
    <s v="Detection Capability"/>
    <x v="1"/>
    <n v="1"/>
    <s v="Attackers attempting to use common cyber-attack techniques should not be able to gain access to data or any control of technology services without being detected."/>
    <x v="1"/>
  </r>
  <r>
    <s v="Detect"/>
    <n v="15"/>
    <s v="Incident Detection"/>
    <x v="64"/>
    <s v="Detection Capability"/>
    <x v="1"/>
    <s v="PSN"/>
    <s v="•_x0009_Event data is collected and retained to detect actual or potential security incidents. _x000a_•_x0009_The organisation has a policy that describes the use cases to be detected, which define event data collection._x000a_•_x0009_The policy includes both detection of technical attacks as well as important abuses of business processes."/>
    <x v="3"/>
  </r>
  <r>
    <s v="Detect"/>
    <n v="15"/>
    <s v="Incident Detection"/>
    <x v="64"/>
    <s v="Detection Capability"/>
    <x v="2"/>
    <n v="1"/>
    <s v="Detection (and prevention and recovery) controls to protect against malware are in place."/>
    <x v="0"/>
  </r>
  <r>
    <s v="Detect"/>
    <n v="15"/>
    <s v="Incident Detection"/>
    <x v="64"/>
    <s v="Detection Capability"/>
    <x v="2"/>
    <n v="2"/>
    <s v="Policy violations are detected against an agreed list of suspicious or undesirable behaviour."/>
    <x v="0"/>
  </r>
  <r>
    <s v="Detect"/>
    <n v="15"/>
    <s v="Incident Detection"/>
    <x v="64"/>
    <s v="Detection Capability"/>
    <x v="2"/>
    <n v="3"/>
    <s v="There is the capability to investigate AV alerts. "/>
    <x v="0"/>
  </r>
  <r>
    <s v="Detect"/>
    <n v="15"/>
    <s v="Incident Detection"/>
    <x v="64"/>
    <s v="Detection Capability"/>
    <x v="2"/>
    <n v="4"/>
    <s v="Threat intelligence services are employed and used to inform anomalous activity profiles."/>
    <x v="0"/>
  </r>
  <r>
    <s v="Detect"/>
    <n v="15"/>
    <s v="Incident Detection"/>
    <x v="64"/>
    <s v="Detection Capability"/>
    <x v="2"/>
    <n v="5"/>
    <s v="There is a sufficient understanding of normal system activity (e.g. which system components should and should not be communicating with each other) to ensure that searching for system abnormalities is an effective way of detecting malicious activity."/>
    <x v="1"/>
  </r>
  <r>
    <s v="Detect"/>
    <n v="15"/>
    <s v="Incident Detection"/>
    <x v="64"/>
    <s v="Detection Capability"/>
    <x v="2"/>
    <n v="6"/>
    <s v="Descriptions of some system abnormalities that might signify malicious activity are maintained and updated, informed by past attacks and threat intelligence that takes into account the nature of attacks likely to impact on the networks and information systems."/>
    <x v="1"/>
  </r>
  <r>
    <s v="Detect"/>
    <n v="15"/>
    <s v="Incident Detection"/>
    <x v="64"/>
    <s v="Detection Capability"/>
    <x v="2"/>
    <n v="7"/>
    <s v="Routine search for system abnormalities are undertaken and alerts generated."/>
    <x v="1"/>
  </r>
  <r>
    <s v="Detect"/>
    <n v="15"/>
    <s v="Incident Detection"/>
    <x v="64"/>
    <s v="Detection Capability"/>
    <x v="3"/>
    <n v="1"/>
    <s v="Baseline"/>
    <x v="2"/>
  </r>
  <r>
    <s v="Detect"/>
    <n v="15"/>
    <s v="Incident Detection"/>
    <x v="65"/>
    <s v="Security Monitoring"/>
    <x v="0"/>
    <s v="None"/>
    <m/>
    <x v="3"/>
  </r>
  <r>
    <s v="Detect"/>
    <n v="15"/>
    <s v="Incident Detection"/>
    <x v="65"/>
    <s v="Security Monitoring"/>
    <x v="1"/>
    <n v="1"/>
    <s v="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
    <x v="0"/>
  </r>
  <r>
    <s v="Detect"/>
    <n v="15"/>
    <s v="Incident Detection"/>
    <x v="65"/>
    <s v="Security Monitoring"/>
    <x v="1"/>
    <n v="2"/>
    <s v="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
    <x v="0"/>
  </r>
  <r>
    <s v="Detect"/>
    <n v="15"/>
    <s v="Incident Detection"/>
    <x v="65"/>
    <s v="Security Monitoring"/>
    <x v="1"/>
    <n v="3"/>
    <s v="Policies and processes are in place to promptly manage and respond to incidents detected by monitoring solutions."/>
    <x v="0"/>
  </r>
  <r>
    <s v="Detect"/>
    <n v="15"/>
    <s v="Incident Detection"/>
    <x v="65"/>
    <s v="Security Monitoring"/>
    <x v="1"/>
    <n v="4"/>
    <s v="Alerts generated by the system monitoring strategy are based on business need and an assessment of risk. This includes both technical and transactional monitoring as appropriate."/>
    <x v="1"/>
  </r>
  <r>
    <s v="Detect"/>
    <n v="15"/>
    <s v="Incident Detection"/>
    <x v="65"/>
    <s v="Security Monitoring"/>
    <x v="1"/>
    <n v="5"/>
    <s v="The monitoring capability has the ability to identify the unauthorised or accidental misuse of systems processing personal data and user access to that data, including anomalous user activity. It can tie specific users to suspicious activity."/>
    <x v="1"/>
  </r>
  <r>
    <s v="Detect"/>
    <n v="15"/>
    <s v="Incident Detection"/>
    <x v="65"/>
    <s v="Security Monitoring"/>
    <x v="1"/>
    <n v="6"/>
    <s v="A centralised capability has been deployed that can collect and analyse information and alerts from across the organisation. This is automated due to the volume of data involved, enabling analysts to concentrate on anomalies or high priority alerts. "/>
    <x v="1"/>
  </r>
  <r>
    <s v="Detect"/>
    <n v="15"/>
    <s v="Incident Detection"/>
    <x v="65"/>
    <s v="Security Monitoring"/>
    <x v="1"/>
    <n v="7"/>
    <s v="The monitoring and analysis of audit logs is supported by a centralised and synchronised timing source that is used across the entire organisation to support incident response and investigation."/>
    <x v="1"/>
  </r>
  <r>
    <s v="Detect"/>
    <n v="15"/>
    <s v="Incident Detection"/>
    <x v="65"/>
    <s v="Security Monitoring"/>
    <x v="1"/>
    <n v="8"/>
    <s v="Processes are in place to test monitoring capabilities, learn from security incidents and improve the efficiency of the monitoring capability."/>
    <x v="1"/>
  </r>
  <r>
    <s v="Detect"/>
    <n v="15"/>
    <s v="Incident Detection"/>
    <x v="65"/>
    <s v="Security Monitoring"/>
    <x v="1"/>
    <s v="PSN"/>
    <s v="•_x0009_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
    <x v="3"/>
  </r>
  <r>
    <s v="Detect"/>
    <n v="15"/>
    <s v="Incident Detection"/>
    <x v="65"/>
    <s v="Security Monitoring"/>
    <x v="2"/>
    <n v="1"/>
    <s v="As well as the network boundary, monitoring coverage includes internal and host-based monitoring."/>
    <x v="0"/>
  </r>
  <r>
    <s v="Detect"/>
    <n v="15"/>
    <s v="Incident Detection"/>
    <x v="65"/>
    <s v="Security Monitoring"/>
    <x v="2"/>
    <n v="2"/>
    <s v="The process for bringing new systems online includes considerations for access to monitoring data sources."/>
    <x v="0"/>
  </r>
  <r>
    <s v="Detect"/>
    <n v="15"/>
    <s v="Incident Detection"/>
    <x v="65"/>
    <s v="Security Monitoring"/>
    <x v="2"/>
    <n v="3"/>
    <s v="Monitoring staff: _x000a_a)_x0009_are responsible for investigating and reporting monitoring alerts._x000a_b)_x0009_have roles and skills that covers all parts of the monitoring/investigation workflow._x000a_c)_x0009_have workflows that address all governance reporting requirements, internal and external._x000a_d)_x0009_are empowered to look beyond fixed workflows to investigate and understand non-standard threats, by developing their own investigative techniques and making new use of data."/>
    <x v="1"/>
  </r>
  <r>
    <s v="Detect"/>
    <n v="15"/>
    <s v="Incident Detection"/>
    <x v="65"/>
    <s v="Security Monitoring"/>
    <x v="3"/>
    <n v="1"/>
    <s v="Baseline"/>
    <x v="2"/>
  </r>
  <r>
    <s v="Respond and Recover"/>
    <n v="16"/>
    <s v="Incident Management"/>
    <x v="66"/>
    <s v="Incident Response Protocol"/>
    <x v="0"/>
    <n v="1"/>
    <s v="Cyber incident response policies and process are in place and these integrate with central cyber incident reporting , notification and coordination protocols."/>
    <x v="0"/>
  </r>
  <r>
    <s v="Respond and Recover"/>
    <n v="16"/>
    <s v="Incident Management"/>
    <x v="66"/>
    <s v="Incident Response Protocol"/>
    <x v="1"/>
    <n v="1"/>
    <s v="There is an incident response capability and management plan in place, documented, with clear pre-defined processes, actions, roles and responsibilities and clear terms of reference for decision-making and incident management."/>
    <x v="0"/>
  </r>
  <r>
    <s v="Respond and Recover"/>
    <n v="16"/>
    <s v="Incident Management"/>
    <x v="66"/>
    <s v="Incident Response Protocol"/>
    <x v="1"/>
    <n v="2"/>
    <s v="Specialist training is provided as required to the incident response team."/>
    <x v="0"/>
  </r>
  <r>
    <s v="Respond and Recover"/>
    <n v="16"/>
    <s v="Incident Management"/>
    <x v="66"/>
    <s v="Incident Response Protocol"/>
    <x v="1"/>
    <n v="3"/>
    <s v="In the event of an incident the response team is provided with audit logs holding user activities, exceptions and information security events to assist in investigations."/>
    <x v="0"/>
  </r>
  <r>
    <s v="Respond and Recover"/>
    <n v="16"/>
    <s v="Incident Management"/>
    <x v="66"/>
    <s v="Incident Response Protocol"/>
    <x v="1"/>
    <n v="4"/>
    <s v="The contact details of key personnel are readily available to use in the event of an incident."/>
    <x v="0"/>
  </r>
  <r>
    <s v="Respond and Recover"/>
    <n v="16"/>
    <s v="Incident Management"/>
    <x v="66"/>
    <s v="Incident Response Protocol"/>
    <x v="1"/>
    <n v="5"/>
    <s v="The supporting policy, processes and plans are risk based and cover any legal or regulatory reporting requirements."/>
    <x v="0"/>
  </r>
  <r>
    <s v="Respond and Recover"/>
    <n v="16"/>
    <s v="Incident Management"/>
    <x v="66"/>
    <s v="Incident Response Protocol"/>
    <x v="1"/>
    <n v="6"/>
    <s v="All incidents are recorded regardless of the need to report them."/>
    <x v="0"/>
  </r>
  <r>
    <s v="Respond and Recover"/>
    <n v="16"/>
    <s v="Incident Management"/>
    <x v="66"/>
    <s v="Incident Response Protocol"/>
    <x v="1"/>
    <n v="7"/>
    <s v="All plans supporting security incident management (including business continuity and disaster recovery plans) are regularly tested. "/>
    <x v="1"/>
  </r>
  <r>
    <s v="Respond and Recover"/>
    <n v="16"/>
    <s v="Incident Management"/>
    <x v="66"/>
    <s v="Incident Response Protocol"/>
    <x v="1"/>
    <n v="8"/>
    <s v="The outcome of the tests and knowledge from incident management events are used to inform the future development of the incident management plans."/>
    <x v="0"/>
  </r>
  <r>
    <s v="Respond and Recover"/>
    <n v="16"/>
    <s v="Incident Management"/>
    <x v="66"/>
    <s v="Incident Response Protocol"/>
    <x v="1"/>
    <s v="PSN"/>
    <s v="For incidents that impact on the PSN, these are reported to the PSN team and other entities as required."/>
    <x v="3"/>
  </r>
  <r>
    <s v="Respond and Recover"/>
    <n v="16"/>
    <s v="Incident Management"/>
    <x v="66"/>
    <s v="Incident Response Protocol"/>
    <x v="2"/>
    <n v="1"/>
    <s v="The incident response plan is communicated and understood by the wider organisational business and integrated with supply chain response plans."/>
    <x v="1"/>
  </r>
  <r>
    <s v="Respond and Recover"/>
    <n v="16"/>
    <s v="Incident Management"/>
    <x v="66"/>
    <s v="Incident Response Protocol"/>
    <x v="2"/>
    <n v="2"/>
    <s v="Thresholds for incident definitions, classifications and assessments are in place."/>
    <x v="0"/>
  </r>
  <r>
    <s v="Respond and Recover"/>
    <n v="16"/>
    <s v="Incident Management"/>
    <x v="66"/>
    <s v="Incident Response Protocol"/>
    <x v="2"/>
    <n v="3"/>
    <s v="Procedures for the identification, collection, acquisition and preservation of evidence have been defined and implemented"/>
    <x v="0"/>
  </r>
  <r>
    <s v="Respond and Recover"/>
    <n v="16"/>
    <s v="Incident Management"/>
    <x v="66"/>
    <s v="Incident Response Protocol"/>
    <x v="3"/>
    <n v="3"/>
    <s v="Partial Target"/>
    <x v="2"/>
  </r>
  <r>
    <s v="Respond and Recover"/>
    <n v="16"/>
    <s v="Incident Management"/>
    <x v="67"/>
    <s v="Incident Reporting Procedure"/>
    <x v="0"/>
    <n v="1"/>
    <s v="Cyber incident response policies and process are in place and these integrate with central cyber incident reporting , notification and coordination protocols."/>
    <x v="0"/>
  </r>
  <r>
    <s v="Respond and Recover"/>
    <n v="16"/>
    <s v="Incident Management"/>
    <x v="67"/>
    <s v="Incident Reporting Procedure"/>
    <x v="1"/>
    <n v="1"/>
    <s v="The organisation promotes an incident reporting culture that empowers staff to voice their concerns about poor security practices and security incidents to senior managers, with positive recognition and without fear of recrimination. "/>
    <x v="0"/>
  </r>
  <r>
    <s v="Respond and Recover"/>
    <n v="16"/>
    <s v="Incident Management"/>
    <x v="67"/>
    <s v="Incident Reporting Procedure"/>
    <x v="1"/>
    <n v="2"/>
    <s v="Users (employees and contractors) are security aware, know their responsibilities, and understand how to report any observed or suspected security weaknesses in systems or services and how to respond to incidents."/>
    <x v="0"/>
  </r>
  <r>
    <s v="Respond and Recover"/>
    <n v="16"/>
    <s v="Incident Management"/>
    <x v="67"/>
    <s v="Incident Reporting Procedure"/>
    <x v="1"/>
    <n v="3"/>
    <s v="Users are encouraged to report any security weaknesses or incident as soon as possible, without fear of recrimination."/>
    <x v="0"/>
  </r>
  <r>
    <s v="Respond and Recover"/>
    <n v="16"/>
    <s v="Incident Management"/>
    <x v="67"/>
    <s v="Incident Reporting Procedure"/>
    <x v="1"/>
    <n v="4"/>
    <s v="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
    <x v="0"/>
  </r>
  <r>
    <s v="Respond and Recover"/>
    <n v="16"/>
    <s v="Incident Management"/>
    <x v="67"/>
    <s v="Incident Reporting Procedure"/>
    <x v="2"/>
    <s v="None"/>
    <m/>
    <x v="3"/>
  </r>
  <r>
    <s v="Respond and Recover"/>
    <n v="16"/>
    <s v="Incident Management"/>
    <x v="67"/>
    <s v="Incident Reporting Procedure"/>
    <x v="3"/>
    <n v="0"/>
    <s v="Partial Baseline"/>
    <x v="2"/>
  </r>
  <r>
    <s v="Respond and Recover"/>
    <n v="16"/>
    <s v="Incident Management"/>
    <x v="68"/>
    <s v="Staff Training &amp; Testing"/>
    <x v="0"/>
    <s v="None"/>
    <m/>
    <x v="3"/>
  </r>
  <r>
    <s v="Respond and Recover"/>
    <n v="16"/>
    <s v="Incident Management"/>
    <x v="68"/>
    <s v="Staff Training &amp; Testing"/>
    <x v="1"/>
    <n v="1"/>
    <s v="A staff induction process is in place for new users (including contractors and third parties)."/>
    <x v="0"/>
  </r>
  <r>
    <s v="Respond and Recover"/>
    <n v="16"/>
    <s v="Incident Management"/>
    <x v="68"/>
    <s v="Staff Training &amp; Testing"/>
    <x v="1"/>
    <n v="2"/>
    <s v="All employees receive regular training on the security risks to the organisation. This is tracked and refresher training is completed at suitable intervals. "/>
    <x v="0"/>
  </r>
  <r>
    <s v="Respond and Recover"/>
    <n v="16"/>
    <s v="Incident Management"/>
    <x v="68"/>
    <s v="Staff Training &amp; Testing"/>
    <x v="1"/>
    <n v="3"/>
    <s v="Cyber security information and good practice guidance is easily and widely available. "/>
    <x v="0"/>
  </r>
  <r>
    <s v="Respond and Recover"/>
    <n v="16"/>
    <s v="Incident Management"/>
    <x v="68"/>
    <s v="Staff Training &amp; Testing"/>
    <x v="1"/>
    <n v="4"/>
    <s v="Senior accountable individuals receive appropriate training and guidance on cyber security and risk management."/>
    <x v="0"/>
  </r>
  <r>
    <s v="Respond and Recover"/>
    <n v="16"/>
    <s v="Incident Management"/>
    <x v="68"/>
    <s v="Staff Training &amp; Testing"/>
    <x v="1"/>
    <n v="5"/>
    <s v="Employees in security roles are encouraged to develop and formally validate their security skills through recognised certifications and specialist training. "/>
    <x v="0"/>
  </r>
  <r>
    <s v="Respond and Recover"/>
    <n v="16"/>
    <s v="Incident Management"/>
    <x v="68"/>
    <s v="Staff Training &amp; Testing"/>
    <x v="1"/>
    <n v="6"/>
    <s v="The effectiveness of security training and awareness activities is monitored and tested."/>
    <x v="1"/>
  </r>
  <r>
    <s v="Respond and Recover"/>
    <n v="16"/>
    <s v="Incident Management"/>
    <x v="68"/>
    <s v="Staff Training &amp; Testing"/>
    <x v="2"/>
    <s v="None"/>
    <m/>
    <x v="3"/>
  </r>
  <r>
    <s v="Respond and Recover"/>
    <n v="16"/>
    <s v="Incident Management"/>
    <x v="68"/>
    <s v="Staff Training &amp; Testing"/>
    <x v="3"/>
    <n v="2"/>
    <s v="Partial Target"/>
    <x v="2"/>
  </r>
  <r>
    <s v="Respond and Recover"/>
    <n v="16"/>
    <s v="Incident Management"/>
    <x v="69"/>
    <s v="Post-Incident Review &amp; Learning"/>
    <x v="0"/>
    <n v="1"/>
    <s v="The senior team should take ownership of the lessons process to ensure that any actions required to improve the organisation’s cyber resilience are undertaken."/>
    <x v="0"/>
  </r>
  <r>
    <s v="Respond and Recover"/>
    <n v="16"/>
    <s v="Incident Management"/>
    <x v="69"/>
    <s v="Post-Incident Review &amp; Learning"/>
    <x v="1"/>
    <n v="1"/>
    <s v="Post-incident evidence is collected, preserved and analysed to identify and remedy the root cause. "/>
    <x v="0"/>
  </r>
  <r>
    <s v="Respond and Recover"/>
    <n v="16"/>
    <s v="Incident Management"/>
    <x v="69"/>
    <s v="Post-Incident Review &amp; Learning"/>
    <x v="1"/>
    <n v="2"/>
    <s v="Root cause analysis is conducted routinely as a key part of the lessons learned activities following an incident. This is comprehensive, covering organisational process issues, as well as vulnerabilities in networks, systems or software."/>
    <x v="0"/>
  </r>
  <r>
    <s v="Respond and Recover"/>
    <n v="16"/>
    <s v="Incident Management"/>
    <x v="69"/>
    <s v="Post-Incident Review &amp; Learning"/>
    <x v="1"/>
    <n v="3"/>
    <s v="Lessons-learned reviews are conducted: actions taken during an incident are logged and reviewed to evaluate the performance of the incident management process. "/>
    <x v="0"/>
  </r>
  <r>
    <s v="Respond and Recover"/>
    <n v="16"/>
    <s v="Incident Management"/>
    <x v="69"/>
    <s v="Post-Incident Review &amp; Learning"/>
    <x v="1"/>
    <n v="4"/>
    <s v="Post incident lessons are assessed and lessons implemented into future iterations of the incident management plan and the monitoring capability."/>
    <x v="0"/>
  </r>
  <r>
    <s v="Respond and Recover"/>
    <n v="16"/>
    <s v="Incident Management"/>
    <x v="69"/>
    <s v="Post-Incident Review &amp; Learning"/>
    <x v="2"/>
    <n v="1"/>
    <s v="There is a documented incident review process/policy which ensures that lessons learned from each incident are identified, captured, and acted upon."/>
    <x v="0"/>
  </r>
  <r>
    <s v="Respond and Recover"/>
    <n v="16"/>
    <s v="Incident Management"/>
    <x v="69"/>
    <s v="Post-Incident Review &amp; Learning"/>
    <x v="2"/>
    <n v="2"/>
    <s v="Lessons learned cover issues with reporting, roles, governance, skills and organisational processes as well as technical aspects of networks and information systems."/>
    <x v="0"/>
  </r>
  <r>
    <s v="Respond and Recover"/>
    <n v="16"/>
    <s v="Incident Management"/>
    <x v="69"/>
    <s v="Post-Incident Review &amp; Learning"/>
    <x v="2"/>
    <n v="3"/>
    <s v="Improvements identified as a result of lessons learned exercises are prioritised, with the highest priority improvements completed quickly."/>
    <x v="0"/>
  </r>
  <r>
    <s v="Respond and Recover"/>
    <n v="16"/>
    <s v="Incident Management"/>
    <x v="69"/>
    <s v="Post-Incident Review &amp; Learning"/>
    <x v="3"/>
    <n v="5"/>
    <s v="Advanced"/>
    <x v="2"/>
  </r>
  <r>
    <s v="Respond and Recover"/>
    <n v="17"/>
    <s v="Business Continuity"/>
    <x v="70"/>
    <s v="Data Recovery Capability"/>
    <x v="0"/>
    <s v="None"/>
    <m/>
    <x v="3"/>
  </r>
  <r>
    <s v="Respond and Recover"/>
    <n v="17"/>
    <s v="Business Continuity"/>
    <x v="70"/>
    <s v="Data Recovery Capability"/>
    <x v="1"/>
    <n v="1"/>
    <s v="A data recovery capability is in place that includes a systematic approach to the backup of essential data. "/>
    <x v="0"/>
  </r>
  <r>
    <s v="Respond and Recover"/>
    <n v="17"/>
    <s v="Business Continuity"/>
    <x v="70"/>
    <s v="Data Recovery Capability"/>
    <x v="2"/>
    <n v="1"/>
    <s v="The organisation has applied suitable physical or technical means to protect this important stored data from unauthorised access, modification or deletion."/>
    <x v="0"/>
  </r>
  <r>
    <s v="Respond and Recover"/>
    <n v="17"/>
    <s v="Business Continuity"/>
    <x v="70"/>
    <s v="Data Recovery Capability"/>
    <x v="3"/>
    <n v="5"/>
    <s v="Advanced"/>
    <x v="2"/>
  </r>
  <r>
    <s v="Respond and Recover"/>
    <n v="17"/>
    <s v="Business Continuity"/>
    <x v="71"/>
    <s v="Backup Policies &amp; Procedures"/>
    <x v="0"/>
    <s v="None"/>
    <m/>
    <x v="3"/>
  </r>
  <r>
    <s v="Respond and Recover"/>
    <n v="17"/>
    <s v="Business Continuity"/>
    <x v="71"/>
    <s v="Backup Policies &amp; Procedures"/>
    <x v="1"/>
    <n v="1"/>
    <s v="There is a backup policy and measures are in place to routinely maintain backup media."/>
    <x v="0"/>
  </r>
  <r>
    <s v="Respond and Recover"/>
    <n v="17"/>
    <s v="Business Continuity"/>
    <x v="71"/>
    <s v="Backup Policies &amp; Procedures"/>
    <x v="1"/>
    <n v="2"/>
    <s v="The ability to recover archived data for operational use is regularly tested."/>
    <x v="0"/>
  </r>
  <r>
    <s v="Respond and Recover"/>
    <n v="17"/>
    <s v="Business Continuity"/>
    <x v="71"/>
    <s v="Backup Policies &amp; Procedures"/>
    <x v="1"/>
    <n v="3"/>
    <s v="Physical backup media (where used) is held in a physically secure location, offsite."/>
    <x v="0"/>
  </r>
  <r>
    <s v="Respond and Recover"/>
    <n v="17"/>
    <s v="Business Continuity"/>
    <x v="71"/>
    <s v="Backup Policies &amp; Procedures"/>
    <x v="2"/>
    <n v="1"/>
    <s v="Backup copies of information, data, software and system images are taken, tested, documented and routinely reviewed."/>
    <x v="0"/>
  </r>
  <r>
    <s v="Respond and Recover"/>
    <n v="17"/>
    <s v="Business Continuity"/>
    <x v="71"/>
    <s v="Backup Policies &amp; Procedures"/>
    <x v="2"/>
    <n v="2"/>
    <s v="There are secured backups of data to allow services to continue should the original data not be available."/>
    <x v="0"/>
  </r>
  <r>
    <s v="Respond and Recover"/>
    <n v="17"/>
    <s v="Business Continuity"/>
    <x v="71"/>
    <s v="Backup Policies &amp; Procedures"/>
    <x v="2"/>
    <n v="3"/>
    <s v="Automatic and tested technical and procedural backups are secured at centrally accessible or secondary sites to recover from an extreme event."/>
    <x v="0"/>
  </r>
  <r>
    <s v="Respond and Recover"/>
    <n v="17"/>
    <s v="Business Continuity"/>
    <x v="71"/>
    <s v="Backup Policies &amp; Procedures"/>
    <x v="3"/>
    <n v="5"/>
    <s v="Advanced"/>
    <x v="2"/>
  </r>
  <r>
    <s v="Respond and Recover"/>
    <n v="17"/>
    <s v="Business Continuity"/>
    <x v="72"/>
    <s v="Disaster Recovery Policies &amp; Procedures"/>
    <x v="0"/>
    <s v="None"/>
    <m/>
    <x v="3"/>
  </r>
  <r>
    <s v="Respond and Recover"/>
    <n v="17"/>
    <s v="Business Continuity"/>
    <x v="72"/>
    <s v="Disaster Recovery Policies &amp; Procedures"/>
    <x v="1"/>
    <n v="1"/>
    <s v="Contingency mechanisms to continue to deliver services in the event of any failure, forced shutdown, or compromise of any system or service have been identified, documented and tested."/>
    <x v="0"/>
  </r>
  <r>
    <s v="Respond and Recover"/>
    <n v="17"/>
    <s v="Business Continuity"/>
    <x v="72"/>
    <s v="Disaster Recovery Policies &amp; Procedures"/>
    <x v="1"/>
    <n v="2"/>
    <s v="Restoring data and services to normal operation is a well-practised scenario."/>
    <x v="0"/>
  </r>
  <r>
    <s v="Respond and Recover"/>
    <n v="17"/>
    <s v="Business Continuity"/>
    <x v="72"/>
    <s v="Disaster Recovery Policies &amp; Procedures"/>
    <x v="2"/>
    <n v="1"/>
    <s v="Disaster recovery plans and processes have been tested for practicality, effectiveness and completeness."/>
    <x v="1"/>
  </r>
  <r>
    <s v="Respond and Recover"/>
    <n v="17"/>
    <s v="Business Continuity"/>
    <x v="72"/>
    <s v="Disaster Recovery Policies &amp; Procedures"/>
    <x v="2"/>
    <n v="2"/>
    <s v="Restore times to operational service are known and documented."/>
    <x v="0"/>
  </r>
  <r>
    <s v="Respond and Recover"/>
    <n v="17"/>
    <s v="Business Continuity"/>
    <x v="72"/>
    <s v="Disaster Recovery Policies &amp; Procedures"/>
    <x v="2"/>
    <n v="3"/>
    <s v="The resources needed to carry out any required response activities are known, with arrangements in place to make these resources available."/>
    <x v="1"/>
  </r>
  <r>
    <s v="Respond and Recover"/>
    <n v="17"/>
    <s v="Business Continuity"/>
    <x v="72"/>
    <s v="Disaster Recovery Policies &amp; Procedures"/>
    <x v="2"/>
    <n v="4"/>
    <s v="You understand the types of information that will likely be needed to inform response decisions, and arrangements are in place to make this information available, including with third-party suppliers as appropriate and where required."/>
    <x v="1"/>
  </r>
  <r>
    <s v="Respond and Recover"/>
    <n v="17"/>
    <s v="Business Continuity"/>
    <x v="72"/>
    <s v="Disaster Recovery Policies &amp; Procedures"/>
    <x v="2"/>
    <n v="5"/>
    <s v="Disaster response team members have the skills and knowledge required to decide on the response actions necessary to limit harm, and the authority to carry them out."/>
    <x v="1"/>
  </r>
  <r>
    <s v="Respond and Recover"/>
    <n v="17"/>
    <s v="Business Continuity"/>
    <x v="72"/>
    <s v="Disaster Recovery Policies &amp; Procedures"/>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2"/>
    <s v="Disaster Recovery Policies &amp; Procedures"/>
    <x v="3"/>
    <n v="3"/>
    <s v="Target"/>
    <x v="2"/>
  </r>
  <r>
    <s v="Respond and Recover"/>
    <n v="17"/>
    <s v="Business Continuity"/>
    <x v="73"/>
    <s v="BC/DR Testing Policies &amp; Procedures"/>
    <x v="0"/>
    <s v="None"/>
    <m/>
    <x v="3"/>
  </r>
  <r>
    <s v="Respond and Recover"/>
    <n v="17"/>
    <s v="Business Continuity"/>
    <x v="73"/>
    <s v="BC/DR Testing Policies &amp; Procedures"/>
    <x v="1"/>
    <n v="1"/>
    <s v="Contingency mechanisms have been identified and tested to enable service continuity in the event of any failure, forced shutdown, or compromise of any system or service. "/>
    <x v="0"/>
  </r>
  <r>
    <s v="Respond and Recover"/>
    <n v="17"/>
    <s v="Business Continuity"/>
    <x v="73"/>
    <s v="BC/DR Testing Policies &amp; Procedures"/>
    <x v="1"/>
    <n v="2"/>
    <s v="Restoring the service to normal operation is a well-practised scenario."/>
    <x v="0"/>
  </r>
  <r>
    <s v="Respond and Recover"/>
    <n v="17"/>
    <s v="Business Continuity"/>
    <x v="73"/>
    <s v="BC/DR Testing Policies &amp; Procedures"/>
    <x v="2"/>
    <n v="1"/>
    <s v="The established and implemented information security continuity controls are tested and reviewed at regular intervals in order to ensure that they are valid and effective."/>
    <x v="0"/>
  </r>
  <r>
    <s v="Respond and Recover"/>
    <n v="17"/>
    <s v="Business Continuity"/>
    <x v="73"/>
    <s v="BC/DR Testing Policies &amp; Procedures"/>
    <x v="2"/>
    <n v="2"/>
    <s v="Business continuity and disaster recovery plans are tested for practicality, effectiveness and completeness to ensure they remain valid. "/>
    <x v="1"/>
  </r>
  <r>
    <s v="Respond and Recover"/>
    <n v="17"/>
    <s v="Business Continuity"/>
    <x v="73"/>
    <s v="BC/DR Testing Policies &amp; Procedures"/>
    <x v="2"/>
    <n v="3"/>
    <s v="Exercise scenarios are based on incidents experienced by the organisation, other organisations, or are composed using experience or threat intelligence."/>
    <x v="1"/>
  </r>
  <r>
    <s v="Respond and Recover"/>
    <n v="17"/>
    <s v="Business Continuity"/>
    <x v="73"/>
    <s v="BC/DR Testing Policies &amp; Procedures"/>
    <x v="2"/>
    <n v="4"/>
    <s v="Exercise scenarios are documented, regularly reviewed, and validated."/>
    <x v="1"/>
  </r>
  <r>
    <s v="Respond and Recover"/>
    <n v="17"/>
    <s v="Business Continuity"/>
    <x v="73"/>
    <s v="BC/DR Testing Policies &amp; Procedures"/>
    <x v="2"/>
    <n v="5"/>
    <s v="Exercises are routinely run, with the findings documented and used to refine incident response plans and protective security, in line with the lessons learned. "/>
    <x v="1"/>
  </r>
  <r>
    <s v="Respond and Recover"/>
    <n v="17"/>
    <s v="Business Continuity"/>
    <x v="73"/>
    <s v="BC/DR Testing Policies &amp; Procedures"/>
    <x v="2"/>
    <n v="6"/>
    <s v="Exercises test all parts of the response cycle relating to particular services or scenarios (e.g. restoration of normal service levels)."/>
    <x v="1"/>
  </r>
  <r>
    <s v="Respond and Recover"/>
    <n v="17"/>
    <s v="Business Continuity"/>
    <x v="73"/>
    <s v="BC/DR Testing Policies &amp; Procedures"/>
    <x v="3"/>
    <n v="3"/>
    <s v="Target"/>
    <x v="2"/>
  </r>
  <r>
    <s v="Respond and Recover"/>
    <n v="17"/>
    <s v="Business Continuity"/>
    <x v="74"/>
    <s v="Data Protection Impact Assessments (DPIA)"/>
    <x v="0"/>
    <s v="None"/>
    <m/>
    <x v="3"/>
  </r>
  <r>
    <s v="Respond and Recover"/>
    <n v="17"/>
    <s v="Business Continuity"/>
    <x v="74"/>
    <s v="Data Protection Impact Assessments (DPIA)"/>
    <x v="1"/>
    <n v="1"/>
    <s v="The impact of loss of availability of the service is known, understood and mitigated."/>
    <x v="0"/>
  </r>
  <r>
    <s v="Respond and Recover"/>
    <n v="17"/>
    <s v="Business Continuity"/>
    <x v="74"/>
    <s v="Data Protection Impact Assessments (DPIA)"/>
    <x v="2"/>
    <n v="1"/>
    <s v="The impact on your service of all relevant scenarios, including unauthorised data access, modification or deletion, or when authorised users are unable to appropriately access this data, are understood and documented."/>
    <x v="0"/>
  </r>
  <r>
    <s v="Respond and Recover"/>
    <n v="17"/>
    <s v="Business Continuity"/>
    <x v="74"/>
    <s v="Data Protection Impact Assessments (DPIA)"/>
    <x v="2"/>
    <n v="2"/>
    <s v="You validate these impact statements regularly, e.g. annually."/>
    <x v="0"/>
  </r>
  <r>
    <s v="Respond and Recover"/>
    <n v="17"/>
    <s v="Business Continuity"/>
    <x v="74"/>
    <s v="Data Protection Impact Assessments (DPIA)"/>
    <x v="3"/>
    <n v="5"/>
    <s v="Advanced"/>
    <x v="2"/>
  </r>
  <r>
    <s v="Respond and Recover"/>
    <n v="17"/>
    <s v="Business Continuity"/>
    <x v="75"/>
    <s v="BC Contingency Plan"/>
    <x v="0"/>
    <s v="None"/>
    <m/>
    <x v="3"/>
  </r>
  <r>
    <s v="Respond and Recover"/>
    <n v="17"/>
    <s v="Business Continuity"/>
    <x v="75"/>
    <s v="BC Contingency Plan"/>
    <x v="1"/>
    <n v="1"/>
    <s v="Contingency mechanisms to continue to deliver services in the event of any failure, forced shutdown, or compromise of any system or service are identified, documented, and implemented."/>
    <x v="0"/>
  </r>
  <r>
    <s v="Respond and Recover"/>
    <n v="17"/>
    <s v="Business Continuity"/>
    <x v="75"/>
    <s v="BC Contingency Plan"/>
    <x v="2"/>
    <n v="1"/>
    <s v="Suitable alternative transmission paths are available where there is a risk of impact on the delivery of the essential service due to resource limitation (e.g. transmission equipment or service failure, or important data being blocked or jammed)."/>
    <x v="1"/>
  </r>
  <r>
    <s v="Respond and Recover"/>
    <n v="17"/>
    <s v="Business Continuity"/>
    <x v="75"/>
    <s v="BC Contingency Plan"/>
    <x v="2"/>
    <n v="2"/>
    <s v="Information security continuity is embedded in the organisation’s wider business continuity management planning."/>
    <x v="1"/>
  </r>
  <r>
    <s v="Respond and Recover"/>
    <n v="17"/>
    <s v="Business Continuity"/>
    <x v="75"/>
    <s v="BC Contingency Plan"/>
    <x v="2"/>
    <n v="3"/>
    <s v="Key roles are duplicated and operational delivery knowledge is shared with all individuals involved in the operations and recovery of the essential service."/>
    <x v="1"/>
  </r>
  <r>
    <s v="Respond and Recover"/>
    <n v="17"/>
    <s v="Business Continuity"/>
    <x v="75"/>
    <s v="BC Contingency Plan"/>
    <x v="2"/>
    <n v="4"/>
    <s v="The resources that will be needed to carry out any required response activities, and arrangements are in place to make these resources available."/>
    <x v="1"/>
  </r>
  <r>
    <s v="Respond and Recover"/>
    <n v="17"/>
    <s v="Business Continuity"/>
    <x v="75"/>
    <s v="BC Contingency Plan"/>
    <x v="2"/>
    <n v="5"/>
    <s v="The types of information that will likely be needed to inform response decisions are known and documented and arrangements are in place to make this information available."/>
    <x v="1"/>
  </r>
  <r>
    <s v="Respond and Recover"/>
    <n v="17"/>
    <s v="Business Continuity"/>
    <x v="75"/>
    <s v="BC Contingency Plan"/>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5"/>
    <s v="BC Contingency Plan"/>
    <x v="2"/>
    <n v="7"/>
    <s v="Where necessary, arrangements are in place to augment incident response capabilities with external support (e.g. specialist providers of cyber incident response capability)."/>
    <x v="1"/>
  </r>
  <r>
    <s v="Respond and Recover"/>
    <n v="17"/>
    <s v="Business Continuity"/>
    <x v="75"/>
    <s v="BC Contingency Plan"/>
    <x v="3"/>
    <n v="3"/>
    <s v="Target"/>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FAD7EB-0348-48D3-96BA-A849DF51A383}" name="PivotTable9"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3:K81" firstHeaderRow="1" firstDataRow="2" firstDataCol="1" rowPageCount="1" colPageCount="1"/>
  <pivotFields count="9">
    <pivotField showAll="0"/>
    <pivotField showAll="0"/>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multipleItemSelectionAllowed="1" showAll="0">
      <items count="5">
        <item x="0"/>
        <item x="1"/>
        <item h="1" x="3"/>
        <item h="1"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D99CBB-0D82-4EC3-AA9A-CB90F504D98E}" name="PivotTable8"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81" firstHeaderRow="1" firstDataRow="2" firstDataCol="1" rowPageCount="1" colPageCount="1"/>
  <pivotFields count="9">
    <pivotField showAll="0"/>
    <pivotField/>
    <pivotField showAll="0"/>
    <pivotField axis="axisRow">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items count="5">
        <item x="0"/>
        <item x="1"/>
        <item x="3"/>
        <item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item="0"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theme/themeOverride1.xml><?xml version="1.0" encoding="utf-8"?>
<a:themeOverride xmlns:a="http://schemas.openxmlformats.org/drawingml/2006/main">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2B15-FABB-496A-83E0-C435C6DBE9B5}">
  <sheetPr>
    <tabColor theme="7"/>
  </sheetPr>
  <dimension ref="A1"/>
  <sheetViews>
    <sheetView topLeftCell="A4" workbookViewId="0">
      <selection activeCell="M13" sqref="M13"/>
    </sheetView>
  </sheetViews>
  <sheetFormatPr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DE52-2CF5-4647-9700-D3094AA397BC}">
  <dimension ref="A1:U104"/>
  <sheetViews>
    <sheetView workbookViewId="0">
      <selection activeCell="D1" sqref="D1"/>
    </sheetView>
  </sheetViews>
  <sheetFormatPr defaultColWidth="8.75" defaultRowHeight="15" x14ac:dyDescent="0.25"/>
  <cols>
    <col min="1" max="1" width="5.875" style="239" bestFit="1" customWidth="1"/>
    <col min="2" max="2" width="33.125" style="240" bestFit="1" customWidth="1"/>
    <col min="3" max="3" width="10" style="240" customWidth="1"/>
    <col min="4" max="4" width="8.625" style="240" bestFit="1" customWidth="1"/>
    <col min="5" max="6" width="7.25" style="240" bestFit="1" customWidth="1"/>
    <col min="7" max="7" width="10.375" style="240" customWidth="1"/>
    <col min="8" max="8" width="10" style="240" bestFit="1" customWidth="1"/>
    <col min="9" max="10" width="8.75" style="240"/>
    <col min="11" max="11" width="8.375" style="240" customWidth="1"/>
    <col min="12" max="14" width="8.75" style="240"/>
    <col min="15" max="15" width="10.75" style="240" bestFit="1" customWidth="1"/>
    <col min="16" max="16" width="10.625" style="240" bestFit="1" customWidth="1"/>
    <col min="17" max="17" width="8.75" style="240"/>
    <col min="18" max="18" width="12" style="240" bestFit="1" customWidth="1"/>
    <col min="19" max="19" width="8.75" style="240"/>
    <col min="20" max="20" width="11.875" style="240" bestFit="1" customWidth="1"/>
    <col min="21" max="21" width="44.375" style="240" bestFit="1" customWidth="1"/>
    <col min="22" max="16384" width="8.75" style="240"/>
  </cols>
  <sheetData>
    <row r="1" spans="1:21" x14ac:dyDescent="0.25">
      <c r="C1" s="241" t="s">
        <v>1551</v>
      </c>
      <c r="D1" s="242">
        <v>40</v>
      </c>
      <c r="E1" s="243" t="s">
        <v>1552</v>
      </c>
      <c r="F1" s="242">
        <v>25</v>
      </c>
      <c r="G1" s="243" t="s">
        <v>1553</v>
      </c>
      <c r="H1" s="242">
        <v>15</v>
      </c>
    </row>
    <row r="2" spans="1:21" x14ac:dyDescent="0.25">
      <c r="C2" s="241" t="s">
        <v>1551</v>
      </c>
      <c r="D2" s="242">
        <v>0</v>
      </c>
      <c r="E2" s="243" t="s">
        <v>1552</v>
      </c>
      <c r="F2" s="242">
        <v>60</v>
      </c>
      <c r="G2" s="243" t="s">
        <v>1553</v>
      </c>
      <c r="H2" s="242">
        <v>20</v>
      </c>
      <c r="I2" s="240" t="s">
        <v>1554</v>
      </c>
      <c r="T2" s="244" t="s">
        <v>1555</v>
      </c>
      <c r="U2" s="244" t="s">
        <v>1556</v>
      </c>
    </row>
    <row r="3" spans="1:21" x14ac:dyDescent="0.25">
      <c r="C3" s="241" t="s">
        <v>1551</v>
      </c>
      <c r="D3" s="242">
        <v>0</v>
      </c>
      <c r="E3" s="243" t="s">
        <v>1552</v>
      </c>
      <c r="F3" s="242">
        <v>0</v>
      </c>
      <c r="G3" s="243" t="s">
        <v>1553</v>
      </c>
      <c r="H3" s="242">
        <v>80</v>
      </c>
      <c r="I3" s="240" t="s">
        <v>1557</v>
      </c>
      <c r="T3" s="245" t="s">
        <v>1558</v>
      </c>
      <c r="U3" s="246" t="s">
        <v>1559</v>
      </c>
    </row>
    <row r="4" spans="1:21" x14ac:dyDescent="0.25">
      <c r="C4" s="241" t="s">
        <v>1551</v>
      </c>
      <c r="D4" s="242">
        <v>50</v>
      </c>
      <c r="E4" s="243" t="s">
        <v>1552</v>
      </c>
      <c r="F4" s="242">
        <v>30</v>
      </c>
      <c r="G4" s="243" t="s">
        <v>1553</v>
      </c>
      <c r="H4" s="242">
        <v>0</v>
      </c>
      <c r="I4" s="240" t="s">
        <v>1560</v>
      </c>
      <c r="T4" s="245" t="s">
        <v>1561</v>
      </c>
      <c r="U4" s="246" t="s">
        <v>1562</v>
      </c>
    </row>
    <row r="5" spans="1:21" x14ac:dyDescent="0.25">
      <c r="C5" s="241" t="s">
        <v>1551</v>
      </c>
      <c r="D5" s="242">
        <v>0</v>
      </c>
      <c r="E5" s="243" t="s">
        <v>1552</v>
      </c>
      <c r="F5" s="242">
        <v>80</v>
      </c>
      <c r="G5" s="243" t="s">
        <v>1553</v>
      </c>
      <c r="H5" s="242">
        <v>0</v>
      </c>
      <c r="I5" s="240" t="s">
        <v>1563</v>
      </c>
      <c r="T5" s="245" t="s">
        <v>1564</v>
      </c>
      <c r="U5" s="246" t="s">
        <v>1565</v>
      </c>
    </row>
    <row r="6" spans="1:21" x14ac:dyDescent="0.25">
      <c r="C6" s="241" t="s">
        <v>1551</v>
      </c>
      <c r="D6" s="242">
        <v>80</v>
      </c>
      <c r="E6" s="243" t="s">
        <v>1552</v>
      </c>
      <c r="F6" s="242">
        <v>0</v>
      </c>
      <c r="G6" s="243" t="s">
        <v>1553</v>
      </c>
      <c r="H6" s="242">
        <v>0</v>
      </c>
      <c r="I6" s="240" t="s">
        <v>1566</v>
      </c>
      <c r="T6" s="245" t="s">
        <v>1567</v>
      </c>
      <c r="U6" s="246" t="s">
        <v>1568</v>
      </c>
    </row>
    <row r="7" spans="1:21" x14ac:dyDescent="0.25">
      <c r="C7" s="247"/>
      <c r="D7" s="248"/>
      <c r="E7" s="249"/>
      <c r="F7" s="248"/>
      <c r="G7" s="249"/>
      <c r="H7" s="242"/>
      <c r="T7" s="245" t="s">
        <v>1569</v>
      </c>
      <c r="U7" s="246" t="s">
        <v>1570</v>
      </c>
    </row>
    <row r="8" spans="1:21" x14ac:dyDescent="0.25">
      <c r="C8" s="250" t="s">
        <v>1571</v>
      </c>
      <c r="D8" s="240">
        <v>1.2</v>
      </c>
      <c r="F8" s="251" t="s">
        <v>1572</v>
      </c>
      <c r="G8" s="252" t="s">
        <v>1573</v>
      </c>
      <c r="H8" s="252" t="s">
        <v>1574</v>
      </c>
      <c r="T8" s="245" t="s">
        <v>1575</v>
      </c>
      <c r="U8" s="246" t="s">
        <v>1576</v>
      </c>
    </row>
    <row r="9" spans="1:21" x14ac:dyDescent="0.25">
      <c r="F9" s="253">
        <v>1.2</v>
      </c>
      <c r="G9" s="253">
        <v>1.1000000000000001</v>
      </c>
      <c r="H9" s="253">
        <v>1</v>
      </c>
      <c r="T9" s="254" t="s">
        <v>1577</v>
      </c>
      <c r="U9" s="246" t="s">
        <v>1578</v>
      </c>
    </row>
    <row r="10" spans="1:21" x14ac:dyDescent="0.25">
      <c r="B10" s="255"/>
      <c r="C10" s="256"/>
      <c r="D10" s="256"/>
      <c r="T10" s="254" t="s">
        <v>1579</v>
      </c>
      <c r="U10" s="246" t="s">
        <v>1580</v>
      </c>
    </row>
    <row r="11" spans="1:21" x14ac:dyDescent="0.25">
      <c r="A11" s="257" t="s">
        <v>1581</v>
      </c>
      <c r="B11" s="258" t="s">
        <v>1582</v>
      </c>
      <c r="C11" s="259" t="s">
        <v>1558</v>
      </c>
      <c r="D11" s="259" t="s">
        <v>1561</v>
      </c>
      <c r="E11" s="260" t="s">
        <v>1564</v>
      </c>
      <c r="F11" s="260" t="s">
        <v>1567</v>
      </c>
      <c r="G11" s="260" t="s">
        <v>1569</v>
      </c>
      <c r="H11" s="260" t="s">
        <v>1575</v>
      </c>
      <c r="I11" s="261" t="s">
        <v>1577</v>
      </c>
      <c r="J11" s="261" t="s">
        <v>1579</v>
      </c>
      <c r="K11" s="261" t="s">
        <v>1583</v>
      </c>
      <c r="L11" s="262" t="s">
        <v>1584</v>
      </c>
      <c r="M11" s="262" t="s">
        <v>1585</v>
      </c>
      <c r="N11" s="262" t="s">
        <v>1586</v>
      </c>
      <c r="O11" s="263" t="s">
        <v>1587</v>
      </c>
      <c r="P11" s="263" t="s">
        <v>1588</v>
      </c>
      <c r="Q11" s="252" t="s">
        <v>1589</v>
      </c>
      <c r="R11" s="252" t="s">
        <v>1590</v>
      </c>
      <c r="T11" s="254" t="s">
        <v>1583</v>
      </c>
      <c r="U11" s="246" t="s">
        <v>1591</v>
      </c>
    </row>
    <row r="12" spans="1:21" x14ac:dyDescent="0.25">
      <c r="A12" s="264">
        <v>1</v>
      </c>
      <c r="B12" s="265" t="s">
        <v>734</v>
      </c>
      <c r="C12" s="266">
        <f>SUM(C13:C17)</f>
        <v>7</v>
      </c>
      <c r="D12" s="266">
        <f>SUM(D13:D17)</f>
        <v>9</v>
      </c>
      <c r="E12" s="266">
        <f t="shared" ref="E12:H12" si="0">SUM(E13:E17)</f>
        <v>8</v>
      </c>
      <c r="F12" s="266">
        <f t="shared" si="0"/>
        <v>10</v>
      </c>
      <c r="G12" s="266">
        <f t="shared" si="0"/>
        <v>15</v>
      </c>
      <c r="H12" s="266">
        <f t="shared" si="0"/>
        <v>16</v>
      </c>
      <c r="I12" s="266">
        <f>(C12/D12)*D1</f>
        <v>31.111111111111111</v>
      </c>
      <c r="J12" s="266">
        <f>(E12/F12)*F1</f>
        <v>20</v>
      </c>
      <c r="K12" s="266">
        <f>(G12/H12)*H1</f>
        <v>14.0625</v>
      </c>
      <c r="L12" s="266">
        <f>I12+J12+K12</f>
        <v>65.173611111111114</v>
      </c>
      <c r="M12" s="266">
        <f t="shared" ref="M12:M98" si="1">100-L12</f>
        <v>34.826388888888886</v>
      </c>
      <c r="N12" s="267">
        <f>M12/100</f>
        <v>0.34826388888888887</v>
      </c>
      <c r="O12" s="268">
        <f>SUM(O13:O17)/5</f>
        <v>25</v>
      </c>
      <c r="P12" s="266">
        <f t="shared" ref="P12:P98" si="2">O12*N12</f>
        <v>8.7065972222222214</v>
      </c>
      <c r="Q12" s="267">
        <f>N12*D8</f>
        <v>0.41791666666666666</v>
      </c>
      <c r="R12" s="266">
        <f t="shared" ref="R12:R99" si="3">O12*Q12</f>
        <v>10.447916666666666</v>
      </c>
      <c r="T12" s="269" t="s">
        <v>1584</v>
      </c>
      <c r="U12" s="246" t="s">
        <v>1592</v>
      </c>
    </row>
    <row r="13" spans="1:21" x14ac:dyDescent="0.25">
      <c r="A13" s="239">
        <v>1.1000000000000001</v>
      </c>
      <c r="B13" s="240" t="s">
        <v>735</v>
      </c>
      <c r="C13" s="270">
        <f>GETPIVOTDATA("Status",'Completion Tracking'!$A$3,"Subcategory ID",1.1,"Tier Name","Baseline")</f>
        <v>1</v>
      </c>
      <c r="D13" s="270">
        <f>GETPIVOTDATA("Status",'Completion Tracking'!$G$3,"Subcategory ID",1.1,"Tier Name","Baseline")</f>
        <v>1</v>
      </c>
      <c r="E13" s="271">
        <f>GETPIVOTDATA("Status",'Completion Tracking'!$A$3,"Subcategory ID",1.1,"Tier Name","Target")</f>
        <v>4</v>
      </c>
      <c r="F13" s="271">
        <f>GETPIVOTDATA("Status",'Completion Tracking'!$G$3,"Subcategory ID",1.1,"Tier Name","Target")</f>
        <v>5</v>
      </c>
      <c r="G13" s="271">
        <f>GETPIVOTDATA("Status",'Completion Tracking'!$A$3,"Subcategory ID",1.1,"Tier Name","Advanced")</f>
        <v>1</v>
      </c>
      <c r="H13" s="271">
        <f>GETPIVOTDATA("Status",'Completion Tracking'!$G$3,"Subcategory ID",1.1,"Tier Name","Advanced")</f>
        <v>2</v>
      </c>
      <c r="I13" s="270">
        <f>(C13/D13)*D1</f>
        <v>40</v>
      </c>
      <c r="J13" s="270">
        <f>(E14/F14)*F1</f>
        <v>25</v>
      </c>
      <c r="K13" s="270">
        <f>(G13/H13)*H1</f>
        <v>7.5</v>
      </c>
      <c r="L13" s="270">
        <f>I13+J13+K13</f>
        <v>72.5</v>
      </c>
      <c r="M13" s="270">
        <f>100-L13</f>
        <v>27.5</v>
      </c>
      <c r="N13" s="272">
        <f>M13/100</f>
        <v>0.27500000000000002</v>
      </c>
      <c r="O13" s="271">
        <f>'CRF Risk View'!K4</f>
        <v>25</v>
      </c>
      <c r="P13" s="270">
        <f>O13*N13</f>
        <v>6.8750000000000009</v>
      </c>
      <c r="Q13" s="272">
        <f>N13*D8</f>
        <v>0.33</v>
      </c>
      <c r="R13" s="270">
        <f>O13*Q13</f>
        <v>8.25</v>
      </c>
      <c r="T13" s="269" t="s">
        <v>1585</v>
      </c>
      <c r="U13" s="246" t="s">
        <v>1593</v>
      </c>
    </row>
    <row r="14" spans="1:21" x14ac:dyDescent="0.25">
      <c r="A14" s="239">
        <v>1.2</v>
      </c>
      <c r="B14" s="240" t="s">
        <v>745</v>
      </c>
      <c r="C14" s="270">
        <f>GETPIVOTDATA("Status",'Completion Tracking'!$A$3,"Subcategory ID",1.2,"Tier Name","Baseline")</f>
        <v>4</v>
      </c>
      <c r="D14" s="270">
        <f>GETPIVOTDATA("Status",'Completion Tracking'!$G$3,"Subcategory ID",1.2,"Tier Name","Baseline")</f>
        <v>4</v>
      </c>
      <c r="E14" s="271">
        <f>GETPIVOTDATA("Status",'Completion Tracking'!$A$3,"Subcategory ID",1.2,"Tier Name","Target")</f>
        <v>2</v>
      </c>
      <c r="F14" s="271">
        <f>GETPIVOTDATA("Status",'Completion Tracking'!$G$3,"Subcategory ID",1.2,"Tier Name","Target")</f>
        <v>2</v>
      </c>
      <c r="G14" s="271">
        <f>GETPIVOTDATA("Status",'Completion Tracking'!$A$3,"Subcategory ID",1.2,"Tier Name","Advanced")</f>
        <v>5</v>
      </c>
      <c r="H14" s="271">
        <f>GETPIVOTDATA("Status",'Completion Tracking'!$G$3,"Subcategory ID",1.2,"Tier Name","Advanced")</f>
        <v>5</v>
      </c>
      <c r="I14" s="270">
        <f>(C14/D14)*D1</f>
        <v>40</v>
      </c>
      <c r="J14" s="270">
        <f>(E14/F14)*F1</f>
        <v>25</v>
      </c>
      <c r="K14" s="270">
        <f>(G14/H14)*H1</f>
        <v>15</v>
      </c>
      <c r="L14" s="270">
        <f t="shared" ref="L14:L77" si="4">I14+J14+K14</f>
        <v>80</v>
      </c>
      <c r="M14" s="270">
        <f t="shared" ref="M14:M17" si="5">100-L14</f>
        <v>20</v>
      </c>
      <c r="N14" s="272">
        <f t="shared" ref="N14:N77" si="6">M14/100</f>
        <v>0.2</v>
      </c>
      <c r="O14" s="271">
        <f>'CRF Risk View'!K4</f>
        <v>25</v>
      </c>
      <c r="P14" s="270">
        <f t="shared" ref="P14:P17" si="7">O14*N14</f>
        <v>5</v>
      </c>
      <c r="Q14" s="272">
        <f>N14*D8</f>
        <v>0.24</v>
      </c>
      <c r="R14" s="270">
        <f t="shared" ref="R14:R17" si="8">O14*Q14</f>
        <v>6</v>
      </c>
      <c r="T14" s="269" t="s">
        <v>1586</v>
      </c>
      <c r="U14" s="246" t="s">
        <v>1594</v>
      </c>
    </row>
    <row r="15" spans="1:21" x14ac:dyDescent="0.25">
      <c r="A15" s="239">
        <v>1.3</v>
      </c>
      <c r="B15" s="240" t="s">
        <v>755</v>
      </c>
      <c r="C15" s="270">
        <f>GETPIVOTDATA("Status",'Completion Tracking'!$A$3,"Subcategory ID",1.3,"Tier Name","Baseline")</f>
        <v>1</v>
      </c>
      <c r="D15" s="270">
        <f>GETPIVOTDATA("Status",'Completion Tracking'!$G$3,"Subcategory ID",1.3,"Tier Name","Baseline")</f>
        <v>1</v>
      </c>
      <c r="E15" s="271">
        <f>GETPIVOTDATA("Status",'Completion Tracking'!$A$3,"Subcategory ID",1.3,"Tier Name","Target")</f>
        <v>1</v>
      </c>
      <c r="F15" s="271">
        <f>GETPIVOTDATA("Status",'Completion Tracking'!$G$3,"Subcategory ID",1.3,"Tier Name","Target")</f>
        <v>1</v>
      </c>
      <c r="G15" s="271">
        <f>GETPIVOTDATA("Status",'Completion Tracking'!$A$3,"Subcategory ID",1.3,"Tier Name","Advanced")</f>
        <v>3</v>
      </c>
      <c r="H15" s="271">
        <f>GETPIVOTDATA("Status",'Completion Tracking'!$G$3,"Subcategory ID",1.3,"Tier Name","Advanced")</f>
        <v>3</v>
      </c>
      <c r="I15" s="270">
        <f>(C15/D15)*D1</f>
        <v>40</v>
      </c>
      <c r="J15" s="270">
        <f>(E15/F15)*F1</f>
        <v>25</v>
      </c>
      <c r="K15" s="270">
        <f>(G15/H15)*H1</f>
        <v>15</v>
      </c>
      <c r="L15" s="270">
        <f t="shared" si="4"/>
        <v>80</v>
      </c>
      <c r="M15" s="270">
        <f t="shared" si="5"/>
        <v>20</v>
      </c>
      <c r="N15" s="272">
        <f t="shared" si="6"/>
        <v>0.2</v>
      </c>
      <c r="O15" s="271">
        <f>'CRF Risk View'!K4</f>
        <v>25</v>
      </c>
      <c r="P15" s="270">
        <f t="shared" si="7"/>
        <v>5</v>
      </c>
      <c r="Q15" s="272">
        <f>N15*D8</f>
        <v>0.24</v>
      </c>
      <c r="R15" s="270">
        <f t="shared" si="8"/>
        <v>6</v>
      </c>
      <c r="T15" s="273" t="s">
        <v>1551</v>
      </c>
      <c r="U15" s="246" t="s">
        <v>1595</v>
      </c>
    </row>
    <row r="16" spans="1:21" x14ac:dyDescent="0.25">
      <c r="A16" s="239">
        <v>1.4</v>
      </c>
      <c r="B16" s="240" t="s">
        <v>761</v>
      </c>
      <c r="C16" s="270">
        <f>GETPIVOTDATA("Status",'Completion Tracking'!$A$3,"Subcategory ID",1.4,"Tier Name","Baseline")</f>
        <v>0</v>
      </c>
      <c r="D16" s="270">
        <f>GETPIVOTDATA("Status",'Completion Tracking'!$G$3,"Subcategory ID",1.4,"Tier Name","Baseline")</f>
        <v>2</v>
      </c>
      <c r="E16" s="271">
        <f>GETPIVOTDATA("Status",'Completion Tracking'!$A$3,"Subcategory ID",1.4,"Tier Name","Target")</f>
        <v>0</v>
      </c>
      <c r="F16" s="271">
        <f>GETPIVOTDATA("Status",'Completion Tracking'!$G$3,"Subcategory ID",1.4,"Tier Name","Target")</f>
        <v>1</v>
      </c>
      <c r="G16" s="271">
        <v>3</v>
      </c>
      <c r="H16" s="271">
        <v>3</v>
      </c>
      <c r="I16" s="270">
        <f>(C16/D16)*D1</f>
        <v>0</v>
      </c>
      <c r="J16" s="270">
        <f>(E16/F16)*F1</f>
        <v>0</v>
      </c>
      <c r="K16" s="270">
        <f>(G16/H16)*H1</f>
        <v>15</v>
      </c>
      <c r="L16" s="270">
        <f t="shared" si="4"/>
        <v>15</v>
      </c>
      <c r="M16" s="270">
        <f t="shared" si="5"/>
        <v>85</v>
      </c>
      <c r="N16" s="272">
        <f t="shared" si="6"/>
        <v>0.85</v>
      </c>
      <c r="O16" s="271">
        <f>'CRF Risk View'!K4</f>
        <v>25</v>
      </c>
      <c r="P16" s="270">
        <f t="shared" si="7"/>
        <v>21.25</v>
      </c>
      <c r="Q16" s="272">
        <f>N16*D8</f>
        <v>1.02</v>
      </c>
      <c r="R16" s="270">
        <f t="shared" si="8"/>
        <v>25.5</v>
      </c>
      <c r="T16" s="273" t="s">
        <v>1552</v>
      </c>
      <c r="U16" s="246" t="s">
        <v>1596</v>
      </c>
    </row>
    <row r="17" spans="1:21" x14ac:dyDescent="0.25">
      <c r="A17" s="239">
        <v>1.5</v>
      </c>
      <c r="B17" s="240" t="s">
        <v>768</v>
      </c>
      <c r="C17" s="270">
        <f>GETPIVOTDATA("Status",'Completion Tracking'!$A$3,"Subcategory ID",1.5,"Tier Name","Baseline")</f>
        <v>1</v>
      </c>
      <c r="D17" s="270">
        <f>GETPIVOTDATA("Status",'Completion Tracking'!$G$3,"Subcategory ID",1.5,"Tier Name","Baseline")</f>
        <v>1</v>
      </c>
      <c r="E17" s="271">
        <f>GETPIVOTDATA("Status",'Completion Tracking'!$A$3,"Subcategory ID",1.5,"Tier Name","Target")</f>
        <v>1</v>
      </c>
      <c r="F17" s="271">
        <f>GETPIVOTDATA("Status",'Completion Tracking'!$G$3,"Subcategory ID",1.5,"Tier Name","Target")</f>
        <v>1</v>
      </c>
      <c r="G17" s="271">
        <f>GETPIVOTDATA("Status",'Completion Tracking'!$A$3,"Subcategory ID",1.5,"Tier Name","Advanced")</f>
        <v>3</v>
      </c>
      <c r="H17" s="271">
        <f>GETPIVOTDATA("Status",'Completion Tracking'!$G$3,"Subcategory ID",1.5,"Tier Name","Advanced")</f>
        <v>3</v>
      </c>
      <c r="I17" s="270">
        <f>(C17/D17)*D1</f>
        <v>40</v>
      </c>
      <c r="J17" s="270">
        <f>(E17/F17)*F1</f>
        <v>25</v>
      </c>
      <c r="K17" s="270">
        <f>(G17/H17)*H1</f>
        <v>15</v>
      </c>
      <c r="L17" s="270">
        <f t="shared" si="4"/>
        <v>80</v>
      </c>
      <c r="M17" s="270">
        <f t="shared" si="5"/>
        <v>20</v>
      </c>
      <c r="N17" s="272">
        <f t="shared" si="6"/>
        <v>0.2</v>
      </c>
      <c r="O17" s="271">
        <f>'CRF Risk View'!K4</f>
        <v>25</v>
      </c>
      <c r="P17" s="270">
        <f t="shared" si="7"/>
        <v>5</v>
      </c>
      <c r="Q17" s="272">
        <f>N17*D8</f>
        <v>0.24</v>
      </c>
      <c r="R17" s="270">
        <f t="shared" si="8"/>
        <v>6</v>
      </c>
      <c r="T17" s="273" t="s">
        <v>1553</v>
      </c>
      <c r="U17" s="246" t="s">
        <v>1597</v>
      </c>
    </row>
    <row r="18" spans="1:21" x14ac:dyDescent="0.25">
      <c r="A18" s="264">
        <v>2</v>
      </c>
      <c r="B18" s="265" t="s">
        <v>773</v>
      </c>
      <c r="C18" s="266">
        <f>SUM(C19:C22)</f>
        <v>6</v>
      </c>
      <c r="D18" s="266">
        <f t="shared" ref="D18:H18" si="9">SUM(D19:D22)</f>
        <v>6</v>
      </c>
      <c r="E18" s="266">
        <f t="shared" si="9"/>
        <v>11</v>
      </c>
      <c r="F18" s="266">
        <f t="shared" si="9"/>
        <v>11</v>
      </c>
      <c r="G18" s="266">
        <f t="shared" si="9"/>
        <v>12</v>
      </c>
      <c r="H18" s="266">
        <f t="shared" si="9"/>
        <v>14</v>
      </c>
      <c r="I18" s="266">
        <f>(C18/D18)*D1</f>
        <v>40</v>
      </c>
      <c r="J18" s="266">
        <f>(E18/F18)*F1</f>
        <v>25</v>
      </c>
      <c r="K18" s="266">
        <f>(G18/H18)*H1</f>
        <v>12.857142857142856</v>
      </c>
      <c r="L18" s="266">
        <f t="shared" si="4"/>
        <v>77.857142857142861</v>
      </c>
      <c r="M18" s="266">
        <f t="shared" si="1"/>
        <v>22.142857142857139</v>
      </c>
      <c r="N18" s="267">
        <f t="shared" si="6"/>
        <v>0.22142857142857139</v>
      </c>
      <c r="O18" s="268">
        <f>SUM(O19:O22)/4</f>
        <v>25</v>
      </c>
      <c r="P18" s="266">
        <f t="shared" si="2"/>
        <v>5.5357142857142847</v>
      </c>
      <c r="Q18" s="267">
        <f>N18*D8</f>
        <v>0.26571428571428568</v>
      </c>
      <c r="R18" s="266">
        <f t="shared" si="3"/>
        <v>6.6428571428571423</v>
      </c>
      <c r="T18" s="250" t="s">
        <v>1571</v>
      </c>
      <c r="U18" s="246" t="s">
        <v>1598</v>
      </c>
    </row>
    <row r="19" spans="1:21" x14ac:dyDescent="0.25">
      <c r="A19" s="239">
        <v>2.1</v>
      </c>
      <c r="B19" s="240" t="s">
        <v>774</v>
      </c>
      <c r="C19" s="270">
        <f>GETPIVOTDATA("Status",'Completion Tracking'!$A$3,"Subcategory ID",2.1,"Tier Name","Baseline")</f>
        <v>1</v>
      </c>
      <c r="D19" s="270">
        <f>GETPIVOTDATA("Status",'Completion Tracking'!$G$3,"Subcategory ID",2.1,"Tier Name","Baseline")</f>
        <v>1</v>
      </c>
      <c r="E19" s="271">
        <f>GETPIVOTDATA("Status",'Completion Tracking'!$A$3,"Subcategory ID",2.1,"Tier Name","Target")</f>
        <v>2</v>
      </c>
      <c r="F19" s="271">
        <f>GETPIVOTDATA("Status",'Completion Tracking'!$G$3,"Subcategory ID",2.1,"Tier Name","Target")</f>
        <v>2</v>
      </c>
      <c r="G19" s="271">
        <f>GETPIVOTDATA("Status",'Completion Tracking'!$A$3,"Subcategory ID",2.1,"Tier Name","Advanced")</f>
        <v>5</v>
      </c>
      <c r="H19" s="271">
        <f>GETPIVOTDATA("Status",'Completion Tracking'!$G$3,"Subcategory ID",2.1,"Tier Name","Advanced")</f>
        <v>5</v>
      </c>
      <c r="I19" s="270">
        <f>(C19/D19)*D1</f>
        <v>40</v>
      </c>
      <c r="J19" s="270">
        <f>(E19/F19)*F1</f>
        <v>25</v>
      </c>
      <c r="K19" s="270">
        <f>(G19/H19)*H1</f>
        <v>15</v>
      </c>
      <c r="L19" s="270">
        <f t="shared" si="4"/>
        <v>80</v>
      </c>
      <c r="M19" s="270">
        <f t="shared" si="1"/>
        <v>20</v>
      </c>
      <c r="N19" s="272">
        <f t="shared" si="6"/>
        <v>0.2</v>
      </c>
      <c r="O19" s="270">
        <f>'CRF Risk View'!K5</f>
        <v>25</v>
      </c>
      <c r="P19" s="270">
        <f t="shared" si="2"/>
        <v>5</v>
      </c>
      <c r="Q19" s="272">
        <f>N19*D8</f>
        <v>0.24</v>
      </c>
      <c r="R19" s="270">
        <f t="shared" si="3"/>
        <v>6</v>
      </c>
      <c r="T19" s="274" t="s">
        <v>1572</v>
      </c>
      <c r="U19" s="246" t="s">
        <v>1599</v>
      </c>
    </row>
    <row r="20" spans="1:21" x14ac:dyDescent="0.25">
      <c r="A20" s="239">
        <v>2.2000000000000002</v>
      </c>
      <c r="B20" s="240" t="s">
        <v>783</v>
      </c>
      <c r="C20" s="270">
        <f>GETPIVOTDATA("Status",'Completion Tracking'!$A$3,"Subcategory ID",2.2,"Tier Name","Baseline")</f>
        <v>1</v>
      </c>
      <c r="D20" s="270">
        <f>GETPIVOTDATA("Status",'Completion Tracking'!$G$3,"Subcategory ID",2.2,"Tier Name","Baseline")</f>
        <v>1</v>
      </c>
      <c r="E20" s="271">
        <f>GETPIVOTDATA("Status",'Completion Tracking'!$A$3,"Subcategory ID",2.2,"Tier Name","Target")</f>
        <v>3</v>
      </c>
      <c r="F20" s="271">
        <f>GETPIVOTDATA("Status",'Completion Tracking'!$G$3,"Subcategory ID",2.2,"Tier Name","Target")</f>
        <v>3</v>
      </c>
      <c r="G20" s="271">
        <f>GETPIVOTDATA("Status",'Completion Tracking'!$A$3,"Subcategory ID",2.2,"Tier Name","Advanced")</f>
        <v>3</v>
      </c>
      <c r="H20" s="271">
        <f>GETPIVOTDATA("Status",'Completion Tracking'!$G$3,"Subcategory ID",2.2,"Tier Name","Advanced")</f>
        <v>3</v>
      </c>
      <c r="I20" s="270">
        <f>(C20/D20)*D1</f>
        <v>40</v>
      </c>
      <c r="J20" s="270">
        <f>(E20/F20)*F1</f>
        <v>25</v>
      </c>
      <c r="K20" s="270">
        <f>(G20/H20)*H1</f>
        <v>15</v>
      </c>
      <c r="L20" s="270">
        <f t="shared" si="4"/>
        <v>80</v>
      </c>
      <c r="M20" s="270">
        <f t="shared" si="1"/>
        <v>20</v>
      </c>
      <c r="N20" s="272">
        <f t="shared" si="6"/>
        <v>0.2</v>
      </c>
      <c r="O20" s="270">
        <f>'CRF Risk View'!K5</f>
        <v>25</v>
      </c>
      <c r="P20" s="270">
        <f t="shared" si="2"/>
        <v>5</v>
      </c>
      <c r="Q20" s="272">
        <f>N20*D8</f>
        <v>0.24</v>
      </c>
      <c r="R20" s="270">
        <f t="shared" si="3"/>
        <v>6</v>
      </c>
      <c r="T20" s="274" t="s">
        <v>1573</v>
      </c>
      <c r="U20" s="246" t="s">
        <v>1600</v>
      </c>
    </row>
    <row r="21" spans="1:21" x14ac:dyDescent="0.25">
      <c r="A21" s="239">
        <v>2.2999999999999998</v>
      </c>
      <c r="B21" s="240" t="s">
        <v>791</v>
      </c>
      <c r="C21" s="270">
        <f>GETPIVOTDATA("Status",'Completion Tracking'!$A$3,"Subcategory ID",2.3,"Tier Name","Baseline")</f>
        <v>1</v>
      </c>
      <c r="D21" s="270">
        <f>GETPIVOTDATA("Status",'Completion Tracking'!$G$3,"Subcategory ID",2.3,"Tier Name","Baseline")</f>
        <v>1</v>
      </c>
      <c r="E21" s="271">
        <f>GETPIVOTDATA("Status",'Completion Tracking'!$A$3,"Subcategory ID",2.3,"Tier Name","Target")</f>
        <v>2</v>
      </c>
      <c r="F21" s="271">
        <f>GETPIVOTDATA("Status",'Completion Tracking'!$G$3,"Subcategory ID",2.3,"Tier Name","Target")</f>
        <v>2</v>
      </c>
      <c r="G21" s="271">
        <f>GETPIVOTDATA("Status",'Completion Tracking'!$A$3,"Subcategory ID",2.3,"Tier Name","Advanced")</f>
        <v>3</v>
      </c>
      <c r="H21" s="271">
        <f>GETPIVOTDATA("Status",'Completion Tracking'!$G$3,"Subcategory ID",2.3,"Tier Name","Advanced")</f>
        <v>4</v>
      </c>
      <c r="I21" s="270">
        <f>(C21/D21)*D1</f>
        <v>40</v>
      </c>
      <c r="J21" s="270">
        <f>(E21/F21)*F1</f>
        <v>25</v>
      </c>
      <c r="K21" s="270">
        <f>(G21/H21)*H1</f>
        <v>11.25</v>
      </c>
      <c r="L21" s="270">
        <f t="shared" si="4"/>
        <v>76.25</v>
      </c>
      <c r="M21" s="270">
        <f t="shared" si="1"/>
        <v>23.75</v>
      </c>
      <c r="N21" s="272">
        <f t="shared" si="6"/>
        <v>0.23749999999999999</v>
      </c>
      <c r="O21" s="270">
        <f>'CRF Risk View'!K5</f>
        <v>25</v>
      </c>
      <c r="P21" s="270">
        <f t="shared" si="2"/>
        <v>5.9375</v>
      </c>
      <c r="Q21" s="272">
        <f>N21*D8</f>
        <v>0.28499999999999998</v>
      </c>
      <c r="R21" s="270">
        <f t="shared" si="3"/>
        <v>7.1249999999999991</v>
      </c>
      <c r="T21" s="274" t="s">
        <v>1574</v>
      </c>
      <c r="U21" s="246" t="s">
        <v>1601</v>
      </c>
    </row>
    <row r="22" spans="1:21" x14ac:dyDescent="0.25">
      <c r="A22" s="239">
        <v>2.4</v>
      </c>
      <c r="B22" s="240" t="s">
        <v>799</v>
      </c>
      <c r="C22" s="270">
        <f>GETPIVOTDATA("Status",'Completion Tracking'!$A$3,"Subcategory ID",2.4,"Tier Name","Baseline")</f>
        <v>3</v>
      </c>
      <c r="D22" s="270">
        <f>GETPIVOTDATA("Status",'Completion Tracking'!$G$3,"Subcategory ID",2.4,"Tier Name","Baseline")</f>
        <v>3</v>
      </c>
      <c r="E22" s="271">
        <f>GETPIVOTDATA("Status",'Completion Tracking'!$A$3,"Subcategory ID",2.4,"Tier Name","Target")</f>
        <v>4</v>
      </c>
      <c r="F22" s="271">
        <f>GETPIVOTDATA("Status",'Completion Tracking'!$G$3,"Subcategory ID",2.4,"Tier Name","Target")</f>
        <v>4</v>
      </c>
      <c r="G22" s="271">
        <f>GETPIVOTDATA("Status",'Completion Tracking'!$A$3,"Subcategory ID",2.4,"Tier Name","Advanced")</f>
        <v>1</v>
      </c>
      <c r="H22" s="271">
        <f>GETPIVOTDATA("Status",'Completion Tracking'!$G$3,"Subcategory ID",2.4,"Tier Name","Advanced")</f>
        <v>2</v>
      </c>
      <c r="I22" s="270">
        <f>(C22/D22)*D1</f>
        <v>40</v>
      </c>
      <c r="J22" s="270">
        <f>(E22/F22)*F1</f>
        <v>25</v>
      </c>
      <c r="K22" s="270">
        <f>(G22/H22)*H1</f>
        <v>7.5</v>
      </c>
      <c r="L22" s="270">
        <f t="shared" si="4"/>
        <v>72.5</v>
      </c>
      <c r="M22" s="270">
        <f t="shared" si="1"/>
        <v>27.5</v>
      </c>
      <c r="N22" s="272">
        <f t="shared" si="6"/>
        <v>0.27500000000000002</v>
      </c>
      <c r="O22" s="270">
        <f>'CRF Risk View'!K5</f>
        <v>25</v>
      </c>
      <c r="P22" s="270">
        <f t="shared" si="2"/>
        <v>6.8750000000000009</v>
      </c>
      <c r="Q22" s="272">
        <f>N22*D8</f>
        <v>0.33</v>
      </c>
      <c r="R22" s="270">
        <f t="shared" si="3"/>
        <v>8.25</v>
      </c>
      <c r="T22" s="275" t="s">
        <v>1589</v>
      </c>
      <c r="U22" s="246" t="s">
        <v>1602</v>
      </c>
    </row>
    <row r="23" spans="1:21" x14ac:dyDescent="0.25">
      <c r="A23" s="264">
        <v>3</v>
      </c>
      <c r="B23" s="265" t="s">
        <v>809</v>
      </c>
      <c r="C23" s="266">
        <f>SUM(C24:C27)</f>
        <v>0</v>
      </c>
      <c r="D23" s="266">
        <f t="shared" ref="D23:H23" si="10">SUM(D24:D27)</f>
        <v>0</v>
      </c>
      <c r="E23" s="266">
        <f t="shared" si="10"/>
        <v>3</v>
      </c>
      <c r="F23" s="266">
        <f t="shared" si="10"/>
        <v>8</v>
      </c>
      <c r="G23" s="266">
        <f t="shared" si="10"/>
        <v>9</v>
      </c>
      <c r="H23" s="266">
        <f t="shared" si="10"/>
        <v>10</v>
      </c>
      <c r="I23" s="266">
        <v>0</v>
      </c>
      <c r="J23" s="266">
        <f>(E23/F23)*F2</f>
        <v>22.5</v>
      </c>
      <c r="K23" s="266">
        <f>(G23/H23)*H2</f>
        <v>18</v>
      </c>
      <c r="L23" s="266">
        <f t="shared" si="4"/>
        <v>40.5</v>
      </c>
      <c r="M23" s="266">
        <f t="shared" si="1"/>
        <v>59.5</v>
      </c>
      <c r="N23" s="267">
        <f t="shared" si="6"/>
        <v>0.59499999999999997</v>
      </c>
      <c r="O23" s="268">
        <f>SUM(O24:O27)/4</f>
        <v>20</v>
      </c>
      <c r="P23" s="266">
        <f t="shared" si="2"/>
        <v>11.899999999999999</v>
      </c>
      <c r="Q23" s="267">
        <f>N23*D8</f>
        <v>0.71399999999999997</v>
      </c>
      <c r="R23" s="266">
        <f t="shared" si="3"/>
        <v>14.28</v>
      </c>
      <c r="T23" s="275" t="s">
        <v>1590</v>
      </c>
      <c r="U23" s="246" t="s">
        <v>1603</v>
      </c>
    </row>
    <row r="24" spans="1:21" x14ac:dyDescent="0.25">
      <c r="A24" s="239">
        <v>3.1</v>
      </c>
      <c r="B24" s="240" t="s">
        <v>810</v>
      </c>
      <c r="C24" s="270">
        <v>0</v>
      </c>
      <c r="D24" s="270">
        <f>GETPIVOTDATA("Status",'Completion Tracking'!$G$3,"Subcategory ID",3.1,"Tier Name","Baseline")</f>
        <v>0</v>
      </c>
      <c r="E24" s="271">
        <v>0</v>
      </c>
      <c r="F24" s="271">
        <f>GETPIVOTDATA("Status",'Completion Tracking'!$G$3,"Subcategory ID",3.1,"Tier Name","Target")</f>
        <v>5</v>
      </c>
      <c r="G24" s="271">
        <v>0</v>
      </c>
      <c r="H24" s="271">
        <f>GETPIVOTDATA("Status",'Completion Tracking'!$G$3,"Subcategory ID",3.1,"Tier Name","Advanced")</f>
        <v>0</v>
      </c>
      <c r="I24" s="270">
        <v>0</v>
      </c>
      <c r="J24" s="276">
        <f>(E24/F24)*F5</f>
        <v>0</v>
      </c>
      <c r="K24" s="270">
        <v>0</v>
      </c>
      <c r="L24" s="270">
        <f t="shared" si="4"/>
        <v>0</v>
      </c>
      <c r="M24" s="270">
        <f t="shared" si="1"/>
        <v>100</v>
      </c>
      <c r="N24" s="272">
        <f t="shared" si="6"/>
        <v>1</v>
      </c>
      <c r="O24" s="271">
        <f>'CRF Risk View'!K6</f>
        <v>20</v>
      </c>
      <c r="P24" s="270">
        <f t="shared" si="2"/>
        <v>20</v>
      </c>
      <c r="Q24" s="272">
        <f>N24*D8</f>
        <v>1.2</v>
      </c>
      <c r="R24" s="270">
        <f t="shared" si="3"/>
        <v>24</v>
      </c>
    </row>
    <row r="25" spans="1:21" x14ac:dyDescent="0.25">
      <c r="A25" s="239">
        <v>3.2</v>
      </c>
      <c r="B25" s="240" t="s">
        <v>817</v>
      </c>
      <c r="C25" s="270">
        <f>GETPIVOTDATA("Status",'Completion Tracking'!$A$3,"Subcategory ID",3.2,"Tier Name","Baseline")</f>
        <v>0</v>
      </c>
      <c r="D25" s="270">
        <f>GETPIVOTDATA("Status",'Completion Tracking'!$G$3,"Subcategory ID",3.2,"Tier Name","Baseline")</f>
        <v>0</v>
      </c>
      <c r="E25" s="271">
        <f>GETPIVOTDATA("Status",'Completion Tracking'!$A$3,"Subcategory ID",3.2,"Tier Name","Target")</f>
        <v>2</v>
      </c>
      <c r="F25" s="271">
        <f>GETPIVOTDATA("Status",'Completion Tracking'!$G$3,"Subcategory ID",3.2,"Tier Name","Target")</f>
        <v>2</v>
      </c>
      <c r="G25" s="271">
        <f>GETPIVOTDATA("Status",'Completion Tracking'!$A$3,"Subcategory ID",3.2,"Tier Name","Advanced")</f>
        <v>1</v>
      </c>
      <c r="H25" s="271">
        <f>GETPIVOTDATA("Status",'Completion Tracking'!$G$3,"Subcategory ID",3.2,"Tier Name","Advanced")</f>
        <v>1</v>
      </c>
      <c r="I25" s="270">
        <v>0</v>
      </c>
      <c r="J25" s="270">
        <f>(E25/F25)*F2</f>
        <v>60</v>
      </c>
      <c r="K25" s="270">
        <f>(G25/H25)*H2</f>
        <v>20</v>
      </c>
      <c r="L25" s="270">
        <f t="shared" si="4"/>
        <v>80</v>
      </c>
      <c r="M25" s="270">
        <f t="shared" si="1"/>
        <v>20</v>
      </c>
      <c r="N25" s="272">
        <f t="shared" si="6"/>
        <v>0.2</v>
      </c>
      <c r="O25" s="271">
        <f>'CRF Risk View'!K6</f>
        <v>20</v>
      </c>
      <c r="P25" s="270">
        <f t="shared" si="2"/>
        <v>4</v>
      </c>
      <c r="Q25" s="272">
        <f>N25*D8</f>
        <v>0.24</v>
      </c>
      <c r="R25" s="270">
        <f t="shared" si="3"/>
        <v>4.8</v>
      </c>
    </row>
    <row r="26" spans="1:21" x14ac:dyDescent="0.25">
      <c r="A26" s="239">
        <v>3.3</v>
      </c>
      <c r="B26" s="240" t="s">
        <v>821</v>
      </c>
      <c r="C26" s="270">
        <f>GETPIVOTDATA("Status",'Completion Tracking'!$A$3,"Subcategory ID",3.3,"Tier Name","Baseline")</f>
        <v>0</v>
      </c>
      <c r="D26" s="270">
        <f>GETPIVOTDATA("Status",'Completion Tracking'!$G$3,"Subcategory ID",3.3,"Tier Name","Baseline")</f>
        <v>0</v>
      </c>
      <c r="E26" s="271">
        <f>GETPIVOTDATA("Status",'Completion Tracking'!$A$3,"Subcategory ID",3.3,"Tier Name","Target")</f>
        <v>0</v>
      </c>
      <c r="F26" s="271">
        <f>GETPIVOTDATA("Status",'Completion Tracking'!$G$3,"Subcategory ID",3.3,"Tier Name","Target")</f>
        <v>0</v>
      </c>
      <c r="G26" s="271">
        <f>GETPIVOTDATA("Status",'Completion Tracking'!$A$3,"Subcategory ID",3.3,"Tier Name","Advanced")</f>
        <v>5</v>
      </c>
      <c r="H26" s="271">
        <f>GETPIVOTDATA("Status",'Completion Tracking'!$G$3,"Subcategory ID",3.3,"Tier Name","Advanced")</f>
        <v>6</v>
      </c>
      <c r="I26" s="270">
        <v>0</v>
      </c>
      <c r="J26" s="270">
        <v>0</v>
      </c>
      <c r="K26" s="270">
        <f>(G26/H26)*H3</f>
        <v>66.666666666666671</v>
      </c>
      <c r="L26" s="270">
        <f t="shared" si="4"/>
        <v>66.666666666666671</v>
      </c>
      <c r="M26" s="270">
        <f t="shared" si="1"/>
        <v>33.333333333333329</v>
      </c>
      <c r="N26" s="272">
        <f t="shared" si="6"/>
        <v>0.33333333333333326</v>
      </c>
      <c r="O26" s="271">
        <f>'CRF Risk View'!K6</f>
        <v>20</v>
      </c>
      <c r="P26" s="270">
        <f t="shared" si="2"/>
        <v>6.6666666666666652</v>
      </c>
      <c r="Q26" s="272">
        <f>N26*D8</f>
        <v>0.39999999999999991</v>
      </c>
      <c r="R26" s="270">
        <f t="shared" si="3"/>
        <v>7.9999999999999982</v>
      </c>
    </row>
    <row r="27" spans="1:21" x14ac:dyDescent="0.25">
      <c r="A27" s="239">
        <v>3.4</v>
      </c>
      <c r="B27" s="240" t="s">
        <v>828</v>
      </c>
      <c r="C27" s="270">
        <f>GETPIVOTDATA("Status",'Completion Tracking'!$A$3,"Subcategory ID",3.4,"Tier Name","Baseline")</f>
        <v>0</v>
      </c>
      <c r="D27" s="270">
        <f>GETPIVOTDATA("Status",'Completion Tracking'!$G$3,"Subcategory ID",3.4,"Tier Name","Baseline")</f>
        <v>0</v>
      </c>
      <c r="E27" s="271">
        <f>GETPIVOTDATA("Status",'Completion Tracking'!$A$3,"Subcategory ID",3.4,"Tier Name","Target")</f>
        <v>1</v>
      </c>
      <c r="F27" s="271">
        <f>GETPIVOTDATA("Status",'Completion Tracking'!$G$3,"Subcategory ID",3.4,"Tier Name","Target")</f>
        <v>1</v>
      </c>
      <c r="G27" s="271">
        <f>GETPIVOTDATA("Status",'Completion Tracking'!$A$3,"Subcategory ID",3.4,"Tier Name","Advanced")</f>
        <v>3</v>
      </c>
      <c r="H27" s="271">
        <f>GETPIVOTDATA("Status",'Completion Tracking'!$G$3,"Subcategory ID",3.4,"Tier Name","Advanced")</f>
        <v>3</v>
      </c>
      <c r="I27" s="270">
        <v>0</v>
      </c>
      <c r="J27" s="270">
        <f>(E27/F27)*F2</f>
        <v>60</v>
      </c>
      <c r="K27" s="270">
        <f>(G27/H27)*H3</f>
        <v>80</v>
      </c>
      <c r="L27" s="270">
        <f t="shared" si="4"/>
        <v>140</v>
      </c>
      <c r="M27" s="270">
        <f t="shared" si="1"/>
        <v>-40</v>
      </c>
      <c r="N27" s="272">
        <f t="shared" si="6"/>
        <v>-0.4</v>
      </c>
      <c r="O27" s="271">
        <f>'CRF Risk View'!K6</f>
        <v>20</v>
      </c>
      <c r="P27" s="270">
        <f t="shared" si="2"/>
        <v>-8</v>
      </c>
      <c r="Q27" s="272">
        <f>N27*D8</f>
        <v>-0.48</v>
      </c>
      <c r="R27" s="270">
        <f t="shared" si="3"/>
        <v>-9.6</v>
      </c>
    </row>
    <row r="28" spans="1:21" x14ac:dyDescent="0.25">
      <c r="A28" s="264">
        <v>4</v>
      </c>
      <c r="B28" s="265" t="s">
        <v>203</v>
      </c>
      <c r="C28" s="266">
        <f>SUM(C29:C31)</f>
        <v>2</v>
      </c>
      <c r="D28" s="266">
        <f t="shared" ref="D28:H28" si="11">SUM(D29:D31)</f>
        <v>2</v>
      </c>
      <c r="E28" s="266">
        <f t="shared" si="11"/>
        <v>5</v>
      </c>
      <c r="F28" s="266">
        <f t="shared" si="11"/>
        <v>5</v>
      </c>
      <c r="G28" s="266">
        <f t="shared" si="11"/>
        <v>10</v>
      </c>
      <c r="H28" s="266">
        <f t="shared" si="11"/>
        <v>12</v>
      </c>
      <c r="I28" s="266">
        <f>(C28/D28)*D1</f>
        <v>40</v>
      </c>
      <c r="J28" s="266">
        <f>(E28/F28)*F1</f>
        <v>25</v>
      </c>
      <c r="K28" s="266">
        <f>(G28/H28)*H1</f>
        <v>12.5</v>
      </c>
      <c r="L28" s="266">
        <f t="shared" si="4"/>
        <v>77.5</v>
      </c>
      <c r="M28" s="266">
        <f t="shared" si="1"/>
        <v>22.5</v>
      </c>
      <c r="N28" s="267">
        <f t="shared" si="6"/>
        <v>0.22500000000000001</v>
      </c>
      <c r="O28" s="268">
        <f>SUM(O29:O31)/3</f>
        <v>15</v>
      </c>
      <c r="P28" s="266">
        <f t="shared" si="2"/>
        <v>3.375</v>
      </c>
      <c r="Q28" s="267">
        <f>N28*D8</f>
        <v>0.27</v>
      </c>
      <c r="R28" s="266">
        <f t="shared" si="3"/>
        <v>4.0500000000000007</v>
      </c>
    </row>
    <row r="29" spans="1:21" x14ac:dyDescent="0.25">
      <c r="A29" s="239">
        <v>4.0999999999999996</v>
      </c>
      <c r="B29" s="240" t="s">
        <v>832</v>
      </c>
      <c r="C29" s="270">
        <f>GETPIVOTDATA("Status",'Completion Tracking'!$A$3,"Subcategory ID",4.1,"Tier Name","Baseline")</f>
        <v>0</v>
      </c>
      <c r="D29" s="270">
        <f>GETPIVOTDATA("Status",'Completion Tracking'!$G$3,"Subcategory ID",4.1,"Tier Name","Baseline")</f>
        <v>0</v>
      </c>
      <c r="E29" s="271">
        <f>GETPIVOTDATA("Status",'Completion Tracking'!$A$3,"Subcategory ID",4.1,"Tier Name","Target")</f>
        <v>2</v>
      </c>
      <c r="F29" s="271">
        <f>GETPIVOTDATA("Status",'Completion Tracking'!$G$3,"Subcategory ID",4.1,"Tier Name","Target")</f>
        <v>2</v>
      </c>
      <c r="G29" s="271">
        <f>GETPIVOTDATA("Status",'Completion Tracking'!$A$3,"Subcategory ID",4.1,"Tier Name","Advanced")</f>
        <v>5</v>
      </c>
      <c r="H29" s="271">
        <f>GETPIVOTDATA("Status",'Completion Tracking'!$G$3,"Subcategory ID",4.1,"Tier Name","Advanced")</f>
        <v>7</v>
      </c>
      <c r="I29" s="270">
        <v>0</v>
      </c>
      <c r="J29" s="270">
        <f>(E29/F29)*F2</f>
        <v>60</v>
      </c>
      <c r="K29" s="270">
        <f>(G29/H29)*H2</f>
        <v>14.285714285714286</v>
      </c>
      <c r="L29" s="270">
        <f t="shared" si="4"/>
        <v>74.285714285714292</v>
      </c>
      <c r="M29" s="270">
        <f t="shared" si="1"/>
        <v>25.714285714285708</v>
      </c>
      <c r="N29" s="272">
        <f t="shared" si="6"/>
        <v>0.25714285714285706</v>
      </c>
      <c r="O29" s="271">
        <f>'CRF Risk View'!K7</f>
        <v>15</v>
      </c>
      <c r="P29" s="270">
        <f t="shared" si="2"/>
        <v>3.8571428571428559</v>
      </c>
      <c r="Q29" s="272">
        <f>N29*D8</f>
        <v>0.30857142857142844</v>
      </c>
      <c r="R29" s="270">
        <f t="shared" si="3"/>
        <v>4.6285714285714263</v>
      </c>
    </row>
    <row r="30" spans="1:21" x14ac:dyDescent="0.25">
      <c r="A30" s="239">
        <v>4.2</v>
      </c>
      <c r="B30" s="240" t="s">
        <v>842</v>
      </c>
      <c r="C30" s="270">
        <f>GETPIVOTDATA("Status",'Completion Tracking'!$A$3,"Subcategory ID",4.2,"Tier Name","Baseline")</f>
        <v>2</v>
      </c>
      <c r="D30" s="270">
        <f>GETPIVOTDATA("Status",'Completion Tracking'!$G$3,"Subcategory ID",4.2,"Tier Name","Baseline")</f>
        <v>2</v>
      </c>
      <c r="E30" s="271">
        <f>GETPIVOTDATA("Status",'Completion Tracking'!$A$3,"Subcategory ID",4.2,"Tier Name","Target")</f>
        <v>2</v>
      </c>
      <c r="F30" s="271">
        <f>GETPIVOTDATA("Status",'Completion Tracking'!$G$3,"Subcategory ID",4.2,"Tier Name","Target")</f>
        <v>2</v>
      </c>
      <c r="G30" s="271">
        <f>GETPIVOTDATA("Status",'Completion Tracking'!$A$3,"Subcategory ID",4.2,"Tier Name","Advanced")</f>
        <v>1</v>
      </c>
      <c r="H30" s="271">
        <f>GETPIVOTDATA("Status",'Completion Tracking'!$G$3,"Subcategory ID",4.2,"Tier Name","Advanced")</f>
        <v>1</v>
      </c>
      <c r="I30" s="270">
        <f>(C30/D30)*D1</f>
        <v>40</v>
      </c>
      <c r="J30" s="270">
        <f>(E30/F30)*F1</f>
        <v>25</v>
      </c>
      <c r="K30" s="270">
        <f>(G30/H30)*H1</f>
        <v>15</v>
      </c>
      <c r="L30" s="270">
        <f t="shared" si="4"/>
        <v>80</v>
      </c>
      <c r="M30" s="270">
        <f t="shared" si="1"/>
        <v>20</v>
      </c>
      <c r="N30" s="272">
        <f t="shared" si="6"/>
        <v>0.2</v>
      </c>
      <c r="O30" s="271">
        <f>'CRF Risk View'!K7</f>
        <v>15</v>
      </c>
      <c r="P30" s="270">
        <f t="shared" si="2"/>
        <v>3</v>
      </c>
      <c r="Q30" s="272">
        <f>N30*D8</f>
        <v>0.24</v>
      </c>
      <c r="R30" s="270">
        <f t="shared" si="3"/>
        <v>3.5999999999999996</v>
      </c>
    </row>
    <row r="31" spans="1:21" x14ac:dyDescent="0.25">
      <c r="A31" s="239">
        <v>4.3</v>
      </c>
      <c r="B31" s="240" t="s">
        <v>848</v>
      </c>
      <c r="C31" s="270">
        <f>GETPIVOTDATA("Status",'Completion Tracking'!$A$3,"Subcategory ID",4.3,"Tier Name","Baseline")</f>
        <v>0</v>
      </c>
      <c r="D31" s="270">
        <f>GETPIVOTDATA("Status",'Completion Tracking'!$G$3,"Subcategory ID",4.3,"Tier Name","Baseline")</f>
        <v>0</v>
      </c>
      <c r="E31" s="271">
        <f>GETPIVOTDATA("Status",'Completion Tracking'!$A$3,"Subcategory ID",4.3,"Tier Name","Target")</f>
        <v>1</v>
      </c>
      <c r="F31" s="271">
        <f>GETPIVOTDATA("Status",'Completion Tracking'!$G$3,"Subcategory ID",4.3,"Tier Name","Target")</f>
        <v>1</v>
      </c>
      <c r="G31" s="271">
        <f>GETPIVOTDATA("Status",'Completion Tracking'!$A$3,"Subcategory ID",4.3,"Tier Name","Advanced")</f>
        <v>4</v>
      </c>
      <c r="H31" s="271">
        <f>GETPIVOTDATA("Status",'Completion Tracking'!$G$3,"Subcategory ID",4.3,"Tier Name","Advanced")</f>
        <v>4</v>
      </c>
      <c r="I31" s="270">
        <v>0</v>
      </c>
      <c r="J31" s="270">
        <f>(E31/F31)*F2</f>
        <v>60</v>
      </c>
      <c r="K31" s="270">
        <f>(G31/H31)*H2</f>
        <v>20</v>
      </c>
      <c r="L31" s="270">
        <f t="shared" si="4"/>
        <v>80</v>
      </c>
      <c r="M31" s="270">
        <f t="shared" si="1"/>
        <v>20</v>
      </c>
      <c r="N31" s="272">
        <f t="shared" si="6"/>
        <v>0.2</v>
      </c>
      <c r="O31" s="271">
        <f>'CRF Risk View'!K7</f>
        <v>15</v>
      </c>
      <c r="P31" s="270">
        <f t="shared" si="2"/>
        <v>3</v>
      </c>
      <c r="Q31" s="272">
        <f>N31*D8</f>
        <v>0.24</v>
      </c>
      <c r="R31" s="270">
        <f t="shared" si="3"/>
        <v>3.5999999999999996</v>
      </c>
    </row>
    <row r="32" spans="1:21" x14ac:dyDescent="0.25">
      <c r="A32" s="264">
        <v>5</v>
      </c>
      <c r="B32" s="265" t="s">
        <v>855</v>
      </c>
      <c r="C32" s="266">
        <f>SUM(C33:C38)</f>
        <v>0</v>
      </c>
      <c r="D32" s="266">
        <f t="shared" ref="D32:H32" si="12">SUM(D33:D38)</f>
        <v>0</v>
      </c>
      <c r="E32" s="266">
        <f t="shared" si="12"/>
        <v>19</v>
      </c>
      <c r="F32" s="266">
        <f t="shared" si="12"/>
        <v>24</v>
      </c>
      <c r="G32" s="266">
        <f t="shared" si="12"/>
        <v>9</v>
      </c>
      <c r="H32" s="266">
        <f t="shared" si="12"/>
        <v>17</v>
      </c>
      <c r="I32" s="266">
        <v>0</v>
      </c>
      <c r="J32" s="266">
        <f>(E32/F32)*F2</f>
        <v>47.5</v>
      </c>
      <c r="K32" s="266">
        <f>(G32/H32)*H2</f>
        <v>10.588235294117647</v>
      </c>
      <c r="L32" s="266">
        <f t="shared" si="4"/>
        <v>58.088235294117645</v>
      </c>
      <c r="M32" s="266">
        <f t="shared" si="1"/>
        <v>41.911764705882355</v>
      </c>
      <c r="N32" s="267">
        <f t="shared" si="6"/>
        <v>0.41911764705882354</v>
      </c>
      <c r="O32" s="268">
        <f>SUM(O33:O38)/6</f>
        <v>25</v>
      </c>
      <c r="P32" s="266">
        <f t="shared" si="2"/>
        <v>10.477941176470589</v>
      </c>
      <c r="Q32" s="267">
        <f>N32*D8</f>
        <v>0.50294117647058822</v>
      </c>
      <c r="R32" s="266">
        <f t="shared" si="3"/>
        <v>12.573529411764707</v>
      </c>
    </row>
    <row r="33" spans="1:18" x14ac:dyDescent="0.25">
      <c r="A33" s="239">
        <v>5.0999999999999996</v>
      </c>
      <c r="B33" s="240" t="s">
        <v>856</v>
      </c>
      <c r="C33" s="270">
        <f>GETPIVOTDATA("Status",'Completion Tracking'!$A$3,"Subcategory ID",5.1,"Tier Name","Baseline")</f>
        <v>0</v>
      </c>
      <c r="D33" s="270">
        <f>GETPIVOTDATA("Status",'Completion Tracking'!$G$3,"Subcategory ID",5.1,"Tier Name","Baseline")</f>
        <v>0</v>
      </c>
      <c r="E33" s="271">
        <f>GETPIVOTDATA("Status",'Completion Tracking'!$A$3,"Subcategory ID",5.1,"Tier Name","Target")</f>
        <v>6</v>
      </c>
      <c r="F33" s="271">
        <f>GETPIVOTDATA("Status",'Completion Tracking'!$G$3,"Subcategory ID",5.1,"Tier Name","Target")</f>
        <v>7</v>
      </c>
      <c r="G33" s="271">
        <f>GETPIVOTDATA("Status",'Completion Tracking'!$A$3,"Subcategory ID",5.1,"Tier Name","Advanced")</f>
        <v>3</v>
      </c>
      <c r="H33" s="271">
        <f>GETPIVOTDATA("Status",'Completion Tracking'!$G$3,"Subcategory ID",5.1,"Tier Name","Advanced")</f>
        <v>3</v>
      </c>
      <c r="I33" s="270">
        <v>0</v>
      </c>
      <c r="J33" s="270">
        <f>(E33/F33)*F2</f>
        <v>51.428571428571423</v>
      </c>
      <c r="K33" s="270">
        <f>(G33/H33)*H2</f>
        <v>20</v>
      </c>
      <c r="L33" s="270">
        <f t="shared" si="4"/>
        <v>71.428571428571416</v>
      </c>
      <c r="M33" s="270">
        <f t="shared" si="1"/>
        <v>28.571428571428584</v>
      </c>
      <c r="N33" s="272">
        <f t="shared" si="6"/>
        <v>0.28571428571428581</v>
      </c>
      <c r="O33" s="271">
        <f>'CRF Risk View'!K8</f>
        <v>25</v>
      </c>
      <c r="P33" s="270">
        <f t="shared" si="2"/>
        <v>7.142857142857145</v>
      </c>
      <c r="Q33" s="272">
        <f>N33*D8</f>
        <v>0.34285714285714297</v>
      </c>
      <c r="R33" s="270">
        <f t="shared" si="3"/>
        <v>8.5714285714285747</v>
      </c>
    </row>
    <row r="34" spans="1:18" x14ac:dyDescent="0.25">
      <c r="A34" s="239">
        <v>5.2</v>
      </c>
      <c r="B34" s="240" t="s">
        <v>867</v>
      </c>
      <c r="C34" s="270">
        <f>GETPIVOTDATA("Status",'Completion Tracking'!$A$3,"Subcategory ID",5.2,"Tier Name","Baseline")</f>
        <v>0</v>
      </c>
      <c r="D34" s="270">
        <f>GETPIVOTDATA("Status",'Completion Tracking'!$G$3,"Subcategory ID",5.2,"Tier Name","Baseline")</f>
        <v>0</v>
      </c>
      <c r="E34" s="271">
        <f>GETPIVOTDATA("Status",'Completion Tracking'!$A$3,"Subcategory ID",5.2,"Tier Name","Target")</f>
        <v>6</v>
      </c>
      <c r="F34" s="271">
        <f>GETPIVOTDATA("Status",'Completion Tracking'!$G$3,"Subcategory ID",5.2,"Tier Name","Target")</f>
        <v>7</v>
      </c>
      <c r="G34" s="271">
        <f>GETPIVOTDATA("Status",'Completion Tracking'!$A$3,"Subcategory ID",5.2,"Tier Name","Advanced")</f>
        <v>1</v>
      </c>
      <c r="H34" s="271">
        <f>GETPIVOTDATA("Status",'Completion Tracking'!$G$3,"Subcategory ID",5.2,"Tier Name","Advanced")</f>
        <v>1</v>
      </c>
      <c r="I34" s="270">
        <v>0</v>
      </c>
      <c r="J34" s="270">
        <f>(E34/F34)*F2</f>
        <v>51.428571428571423</v>
      </c>
      <c r="K34" s="270">
        <f>(G34/H34)*H2</f>
        <v>20</v>
      </c>
      <c r="L34" s="270">
        <f t="shared" si="4"/>
        <v>71.428571428571416</v>
      </c>
      <c r="M34" s="270">
        <f t="shared" si="1"/>
        <v>28.571428571428584</v>
      </c>
      <c r="N34" s="272">
        <f t="shared" si="6"/>
        <v>0.28571428571428581</v>
      </c>
      <c r="O34" s="271">
        <f>'CRF Risk View'!K8</f>
        <v>25</v>
      </c>
      <c r="P34" s="270">
        <f t="shared" si="2"/>
        <v>7.142857142857145</v>
      </c>
      <c r="Q34" s="272">
        <f>N34*D8</f>
        <v>0.34285714285714297</v>
      </c>
      <c r="R34" s="270">
        <f t="shared" si="3"/>
        <v>8.5714285714285747</v>
      </c>
    </row>
    <row r="35" spans="1:18" x14ac:dyDescent="0.25">
      <c r="A35" s="239">
        <v>5.3</v>
      </c>
      <c r="B35" s="240" t="s">
        <v>877</v>
      </c>
      <c r="C35" s="270">
        <f>GETPIVOTDATA("Status",'Completion Tracking'!$A$3,"Subcategory ID",5.3,"Tier Name","Baseline")</f>
        <v>0</v>
      </c>
      <c r="D35" s="270">
        <f>GETPIVOTDATA("Status",'Completion Tracking'!$G$3,"Subcategory ID",5.3,"Tier Name","Baseline")</f>
        <v>0</v>
      </c>
      <c r="E35" s="271">
        <f>GETPIVOTDATA("Status",'Completion Tracking'!$A$3,"Subcategory ID",5.3,"Tier Name","Target")</f>
        <v>1</v>
      </c>
      <c r="F35" s="271">
        <f>GETPIVOTDATA("Status",'Completion Tracking'!$G$3,"Subcategory ID",5.3,"Tier Name","Target")</f>
        <v>1</v>
      </c>
      <c r="G35" s="271">
        <f>GETPIVOTDATA("Status",'Completion Tracking'!$A$3,"Subcategory ID",5.3,"Tier Name","Advanced")</f>
        <v>2</v>
      </c>
      <c r="H35" s="271">
        <f>GETPIVOTDATA("Status",'Completion Tracking'!$G$3,"Subcategory ID",5.3,"Tier Name","Advanced")</f>
        <v>4</v>
      </c>
      <c r="I35" s="270">
        <v>0</v>
      </c>
      <c r="J35" s="270">
        <f>(E35/F35)*F2</f>
        <v>60</v>
      </c>
      <c r="K35" s="270">
        <f>(G35/H35)*H2</f>
        <v>10</v>
      </c>
      <c r="L35" s="270">
        <f t="shared" si="4"/>
        <v>70</v>
      </c>
      <c r="M35" s="270">
        <f t="shared" si="1"/>
        <v>30</v>
      </c>
      <c r="N35" s="272">
        <f t="shared" si="6"/>
        <v>0.3</v>
      </c>
      <c r="O35" s="271">
        <f>'CRF Risk View'!K8</f>
        <v>25</v>
      </c>
      <c r="P35" s="270">
        <f t="shared" si="2"/>
        <v>7.5</v>
      </c>
      <c r="Q35" s="272">
        <f>N35*D8</f>
        <v>0.36</v>
      </c>
      <c r="R35" s="270">
        <f t="shared" si="3"/>
        <v>9</v>
      </c>
    </row>
    <row r="36" spans="1:18" x14ac:dyDescent="0.25">
      <c r="A36" s="239">
        <v>5.4</v>
      </c>
      <c r="B36" s="240" t="s">
        <v>882</v>
      </c>
      <c r="C36" s="270">
        <f>GETPIVOTDATA("Status",'Completion Tracking'!$A$3,"Subcategory ID",5.4,"Tier Name","Baseline")</f>
        <v>0</v>
      </c>
      <c r="D36" s="270">
        <f>GETPIVOTDATA("Status",'Completion Tracking'!$G$3,"Subcategory ID",5.4,"Tier Name","Baseline")</f>
        <v>0</v>
      </c>
      <c r="E36" s="271">
        <f>GETPIVOTDATA("Status",'Completion Tracking'!$A$3,"Subcategory ID",5.4,"Tier Name","Target")</f>
        <v>0</v>
      </c>
      <c r="F36" s="271">
        <f>GETPIVOTDATA("Status",'Completion Tracking'!$G$3,"Subcategory ID",5.4,"Tier Name","Target")</f>
        <v>1</v>
      </c>
      <c r="G36" s="271">
        <f>GETPIVOTDATA("Status",'Completion Tracking'!$A$3,"Subcategory ID",5.4,"Tier Name","Advanced")</f>
        <v>0</v>
      </c>
      <c r="H36" s="271">
        <f>GETPIVOTDATA("Status",'Completion Tracking'!$G$3,"Subcategory ID",5.4,"Tier Name","Advanced")</f>
        <v>3</v>
      </c>
      <c r="I36" s="270">
        <v>0</v>
      </c>
      <c r="J36" s="270">
        <f>(E36/F36)*F2</f>
        <v>0</v>
      </c>
      <c r="K36" s="270">
        <f>(G36/H36)*H2</f>
        <v>0</v>
      </c>
      <c r="L36" s="270">
        <f t="shared" si="4"/>
        <v>0</v>
      </c>
      <c r="M36" s="270">
        <f t="shared" si="1"/>
        <v>100</v>
      </c>
      <c r="N36" s="272">
        <f t="shared" si="6"/>
        <v>1</v>
      </c>
      <c r="O36" s="271">
        <f>'CRF Risk View'!K8</f>
        <v>25</v>
      </c>
      <c r="P36" s="270">
        <f t="shared" si="2"/>
        <v>25</v>
      </c>
      <c r="Q36" s="272">
        <f>N36*D8</f>
        <v>1.2</v>
      </c>
      <c r="R36" s="270">
        <f t="shared" si="3"/>
        <v>30</v>
      </c>
    </row>
    <row r="37" spans="1:18" x14ac:dyDescent="0.25">
      <c r="A37" s="239">
        <v>5.5</v>
      </c>
      <c r="B37" s="240" t="s">
        <v>761</v>
      </c>
      <c r="C37" s="270">
        <f>GETPIVOTDATA("Status",'Completion Tracking'!$A$3,"Subcategory ID",5.5,"Tier Name","Baseline")</f>
        <v>0</v>
      </c>
      <c r="D37" s="270">
        <f>GETPIVOTDATA("Status",'Completion Tracking'!$G$3,"Subcategory ID",5.5,"Tier Name","Baseline")</f>
        <v>0</v>
      </c>
      <c r="E37" s="271">
        <f>GETPIVOTDATA("Status",'Completion Tracking'!$A$3,"Subcategory ID",5.5,"Tier Name","Target")</f>
        <v>1</v>
      </c>
      <c r="F37" s="271">
        <f>GETPIVOTDATA("Status",'Completion Tracking'!$G$3,"Subcategory ID",5.5,"Tier Name","Target")</f>
        <v>3</v>
      </c>
      <c r="G37" s="271">
        <f>GETPIVOTDATA("Status",'Completion Tracking'!$A$3,"Subcategory ID",5.5,"Tier Name","Advanced")</f>
        <v>1</v>
      </c>
      <c r="H37" s="271">
        <f>GETPIVOTDATA("Status",'Completion Tracking'!$G$3,"Subcategory ID",5.5,"Tier Name","Advanced")</f>
        <v>2</v>
      </c>
      <c r="I37" s="270">
        <v>0</v>
      </c>
      <c r="J37" s="270">
        <f>(E37/F37)*F2</f>
        <v>20</v>
      </c>
      <c r="K37" s="270">
        <f>(G37/H37)*H2</f>
        <v>10</v>
      </c>
      <c r="L37" s="270">
        <f t="shared" si="4"/>
        <v>30</v>
      </c>
      <c r="M37" s="270">
        <f t="shared" si="1"/>
        <v>70</v>
      </c>
      <c r="N37" s="272">
        <f t="shared" si="6"/>
        <v>0.7</v>
      </c>
      <c r="O37" s="271">
        <f>'CRF Risk View'!K8</f>
        <v>25</v>
      </c>
      <c r="P37" s="270">
        <f t="shared" si="2"/>
        <v>17.5</v>
      </c>
      <c r="Q37" s="272">
        <f>N37*D8</f>
        <v>0.84</v>
      </c>
      <c r="R37" s="270">
        <f t="shared" si="3"/>
        <v>21</v>
      </c>
    </row>
    <row r="38" spans="1:18" x14ac:dyDescent="0.25">
      <c r="A38" s="239">
        <v>5.6</v>
      </c>
      <c r="B38" s="240" t="s">
        <v>892</v>
      </c>
      <c r="C38" s="270">
        <f>GETPIVOTDATA("Status",'Completion Tracking'!$A$3,"Subcategory ID",5.6,"Tier Name","Baseline")</f>
        <v>0</v>
      </c>
      <c r="D38" s="270">
        <f>GETPIVOTDATA("Status",'Completion Tracking'!$G$3,"Subcategory ID",5.6,"Tier Name","Baseline")</f>
        <v>0</v>
      </c>
      <c r="E38" s="271">
        <f>GETPIVOTDATA("Status",'Completion Tracking'!$A$3,"Subcategory ID",5.6,"Tier Name","Target")</f>
        <v>5</v>
      </c>
      <c r="F38" s="271">
        <f>GETPIVOTDATA("Status",'Completion Tracking'!$G$3,"Subcategory ID",5.6,"Tier Name","Target")</f>
        <v>5</v>
      </c>
      <c r="G38" s="271">
        <f>GETPIVOTDATA("Status",'Completion Tracking'!$A$3,"Subcategory ID",5.6,"Tier Name","Advanced")</f>
        <v>2</v>
      </c>
      <c r="H38" s="271">
        <f>GETPIVOTDATA("Status",'Completion Tracking'!$G$3,"Subcategory ID",5.6,"Tier Name","Advanced")</f>
        <v>4</v>
      </c>
      <c r="I38" s="270">
        <v>0</v>
      </c>
      <c r="J38" s="270">
        <f>(E38/F38)*F2</f>
        <v>60</v>
      </c>
      <c r="K38" s="270">
        <f>(G38/H38)*H2</f>
        <v>10</v>
      </c>
      <c r="L38" s="270">
        <f t="shared" si="4"/>
        <v>70</v>
      </c>
      <c r="M38" s="270">
        <f t="shared" si="1"/>
        <v>30</v>
      </c>
      <c r="N38" s="272">
        <f t="shared" si="6"/>
        <v>0.3</v>
      </c>
      <c r="O38" s="271">
        <f>'CRF Risk View'!K8</f>
        <v>25</v>
      </c>
      <c r="P38" s="270">
        <f t="shared" si="2"/>
        <v>7.5</v>
      </c>
      <c r="Q38" s="272">
        <f>N38*D8</f>
        <v>0.36</v>
      </c>
      <c r="R38" s="270">
        <f t="shared" si="3"/>
        <v>9</v>
      </c>
    </row>
    <row r="39" spans="1:18" x14ac:dyDescent="0.25">
      <c r="A39" s="264">
        <v>6</v>
      </c>
      <c r="B39" s="265" t="s">
        <v>901</v>
      </c>
      <c r="C39" s="266">
        <f>SUM(C40:C44)</f>
        <v>1</v>
      </c>
      <c r="D39" s="266">
        <f t="shared" ref="D39:H39" si="13">SUM(D40:D44)</f>
        <v>1</v>
      </c>
      <c r="E39" s="266">
        <f t="shared" si="13"/>
        <v>9</v>
      </c>
      <c r="F39" s="266">
        <f t="shared" si="13"/>
        <v>13</v>
      </c>
      <c r="G39" s="266">
        <f t="shared" si="13"/>
        <v>9</v>
      </c>
      <c r="H39" s="266">
        <f t="shared" si="13"/>
        <v>15</v>
      </c>
      <c r="I39" s="266">
        <f>(C39/D39)*D1</f>
        <v>40</v>
      </c>
      <c r="J39" s="266">
        <f>(E39/F39)*F1</f>
        <v>17.307692307692307</v>
      </c>
      <c r="K39" s="266">
        <f>(G39/H39)*H1</f>
        <v>9</v>
      </c>
      <c r="L39" s="266">
        <f t="shared" si="4"/>
        <v>66.307692307692307</v>
      </c>
      <c r="M39" s="266">
        <f t="shared" si="1"/>
        <v>33.692307692307693</v>
      </c>
      <c r="N39" s="267">
        <f t="shared" si="6"/>
        <v>0.33692307692307694</v>
      </c>
      <c r="O39" s="268">
        <f>SUM(O40:O44)/5</f>
        <v>12</v>
      </c>
      <c r="P39" s="266">
        <f t="shared" si="2"/>
        <v>4.0430769230769235</v>
      </c>
      <c r="Q39" s="267">
        <f>N39*D8</f>
        <v>0.40430769230769231</v>
      </c>
      <c r="R39" s="266">
        <f t="shared" si="3"/>
        <v>4.851692307692308</v>
      </c>
    </row>
    <row r="40" spans="1:18" x14ac:dyDescent="0.25">
      <c r="A40" s="239">
        <v>6.1</v>
      </c>
      <c r="B40" s="240" t="s">
        <v>902</v>
      </c>
      <c r="C40" s="270">
        <f>GETPIVOTDATA("Status",'Completion Tracking'!$A$3,"Subcategory ID",6.1,"Tier Name","Baseline")</f>
        <v>0</v>
      </c>
      <c r="D40" s="270">
        <f>GETPIVOTDATA("Status",'Completion Tracking'!$G$3,"Subcategory ID",6.1,"Tier Name","Baseline")</f>
        <v>0</v>
      </c>
      <c r="E40" s="271">
        <f>GETPIVOTDATA("Status",'Completion Tracking'!$A$3,"Subcategory ID",6.1,"Tier Name","Target")</f>
        <v>0</v>
      </c>
      <c r="F40" s="271">
        <f>GETPIVOTDATA("Status",'Completion Tracking'!$G$3,"Subcategory ID",6.1,"Tier Name","Target")</f>
        <v>0</v>
      </c>
      <c r="G40" s="271">
        <v>2</v>
      </c>
      <c r="H40" s="271">
        <v>2</v>
      </c>
      <c r="I40" s="270">
        <v>0</v>
      </c>
      <c r="J40" s="271">
        <v>0</v>
      </c>
      <c r="K40" s="270">
        <f>(G40/H40)*H3</f>
        <v>80</v>
      </c>
      <c r="L40" s="270">
        <f t="shared" si="4"/>
        <v>80</v>
      </c>
      <c r="M40" s="270">
        <f t="shared" si="1"/>
        <v>20</v>
      </c>
      <c r="N40" s="272">
        <f t="shared" si="6"/>
        <v>0.2</v>
      </c>
      <c r="O40" s="271">
        <f>'CRF Risk View'!K9</f>
        <v>12</v>
      </c>
      <c r="P40" s="270">
        <f t="shared" si="2"/>
        <v>2.4000000000000004</v>
      </c>
      <c r="Q40" s="272">
        <f>N40*D8</f>
        <v>0.24</v>
      </c>
      <c r="R40" s="270">
        <f t="shared" si="3"/>
        <v>2.88</v>
      </c>
    </row>
    <row r="41" spans="1:18" x14ac:dyDescent="0.25">
      <c r="A41" s="239">
        <v>6.2</v>
      </c>
      <c r="B41" s="240" t="s">
        <v>906</v>
      </c>
      <c r="C41" s="270">
        <f>GETPIVOTDATA("Status",'Completion Tracking'!$A$3,"Subcategory ID",6.2,"Tier Name","Baseline")</f>
        <v>0</v>
      </c>
      <c r="D41" s="270">
        <f>GETPIVOTDATA("Status",'Completion Tracking'!$G$3,"Subcategory ID",6.2,"Tier Name","Baseline")</f>
        <v>0</v>
      </c>
      <c r="E41" s="271">
        <f>GETPIVOTDATA("Status",'Completion Tracking'!$A$3,"Subcategory ID",6.2,"Tier Name","Target")</f>
        <v>5</v>
      </c>
      <c r="F41" s="271">
        <f>GETPIVOTDATA("Status",'Completion Tracking'!$G$3,"Subcategory ID",6.2,"Tier Name","Target")</f>
        <v>5</v>
      </c>
      <c r="G41" s="271">
        <v>5</v>
      </c>
      <c r="H41" s="271">
        <v>6</v>
      </c>
      <c r="I41" s="270">
        <v>0</v>
      </c>
      <c r="J41" s="270">
        <f>(E41/F41)*F2</f>
        <v>60</v>
      </c>
      <c r="K41" s="270">
        <f>(G41/H41)*H1</f>
        <v>12.5</v>
      </c>
      <c r="L41" s="270">
        <f t="shared" si="4"/>
        <v>72.5</v>
      </c>
      <c r="M41" s="270">
        <f t="shared" si="1"/>
        <v>27.5</v>
      </c>
      <c r="N41" s="272">
        <f t="shared" si="6"/>
        <v>0.27500000000000002</v>
      </c>
      <c r="O41" s="271">
        <f>'CRF Risk View'!K9</f>
        <v>12</v>
      </c>
      <c r="P41" s="270">
        <f t="shared" si="2"/>
        <v>3.3000000000000003</v>
      </c>
      <c r="Q41" s="272">
        <f>N41*D8</f>
        <v>0.33</v>
      </c>
      <c r="R41" s="270">
        <f t="shared" si="3"/>
        <v>3.96</v>
      </c>
    </row>
    <row r="42" spans="1:18" x14ac:dyDescent="0.25">
      <c r="A42" s="239">
        <v>6.3</v>
      </c>
      <c r="B42" s="240" t="s">
        <v>912</v>
      </c>
      <c r="C42" s="270">
        <f>GETPIVOTDATA("Status",'Completion Tracking'!$A$3,"Subcategory ID",6.3,"Tier Name","Baseline")</f>
        <v>1</v>
      </c>
      <c r="D42" s="270">
        <f>GETPIVOTDATA("Status",'Completion Tracking'!$G$3,"Subcategory ID",6.3,"Tier Name","Baseline")</f>
        <v>1</v>
      </c>
      <c r="E42" s="271">
        <f>GETPIVOTDATA("Status",'Completion Tracking'!$A$3,"Subcategory ID",6.3,"Tier Name","Target")</f>
        <v>3</v>
      </c>
      <c r="F42" s="271">
        <f>GETPIVOTDATA("Status",'Completion Tracking'!$G$3,"Subcategory ID",6.3,"Tier Name","Target")</f>
        <v>5</v>
      </c>
      <c r="G42" s="271">
        <v>1</v>
      </c>
      <c r="H42" s="271">
        <v>2</v>
      </c>
      <c r="I42" s="270">
        <f>(C42/D42)*D1</f>
        <v>40</v>
      </c>
      <c r="J42" s="270">
        <f>(E42/F42)*F1</f>
        <v>15</v>
      </c>
      <c r="K42" s="270">
        <f>(G42/H42)*H1</f>
        <v>7.5</v>
      </c>
      <c r="L42" s="270">
        <f t="shared" si="4"/>
        <v>62.5</v>
      </c>
      <c r="M42" s="270">
        <f t="shared" si="1"/>
        <v>37.5</v>
      </c>
      <c r="N42" s="272">
        <f t="shared" si="6"/>
        <v>0.375</v>
      </c>
      <c r="O42" s="271">
        <f>'CRF Risk View'!K9</f>
        <v>12</v>
      </c>
      <c r="P42" s="270">
        <f t="shared" si="2"/>
        <v>4.5</v>
      </c>
      <c r="Q42" s="272">
        <f>N42*D8</f>
        <v>0.44999999999999996</v>
      </c>
      <c r="R42" s="270">
        <f t="shared" si="3"/>
        <v>5.3999999999999995</v>
      </c>
    </row>
    <row r="43" spans="1:18" x14ac:dyDescent="0.25">
      <c r="A43" s="239">
        <v>6.4</v>
      </c>
      <c r="B43" s="240" t="s">
        <v>921</v>
      </c>
      <c r="C43" s="270">
        <v>0</v>
      </c>
      <c r="D43" s="270">
        <f>GETPIVOTDATA("Status",'Completion Tracking'!$G$3,"Subcategory ID",6.4,"Tier Name","Baseline")</f>
        <v>0</v>
      </c>
      <c r="E43" s="271">
        <v>0</v>
      </c>
      <c r="F43" s="271">
        <f>GETPIVOTDATA("Status",'Completion Tracking'!$G$3,"Subcategory ID",6.4,"Tier Name","Target")</f>
        <v>2</v>
      </c>
      <c r="G43" s="271">
        <v>0</v>
      </c>
      <c r="H43" s="271">
        <v>1</v>
      </c>
      <c r="I43" s="270">
        <v>0</v>
      </c>
      <c r="J43" s="270">
        <f>(E43/F43)*F2</f>
        <v>0</v>
      </c>
      <c r="K43" s="270">
        <f>(G43/H43)*H2</f>
        <v>0</v>
      </c>
      <c r="L43" s="270">
        <f t="shared" si="4"/>
        <v>0</v>
      </c>
      <c r="M43" s="270">
        <f t="shared" si="1"/>
        <v>100</v>
      </c>
      <c r="N43" s="272">
        <f t="shared" si="6"/>
        <v>1</v>
      </c>
      <c r="O43" s="271">
        <f>'CRF Risk View'!K9</f>
        <v>12</v>
      </c>
      <c r="P43" s="270">
        <f t="shared" si="2"/>
        <v>12</v>
      </c>
      <c r="Q43" s="272">
        <f>N43*D8</f>
        <v>1.2</v>
      </c>
      <c r="R43" s="270">
        <f t="shared" si="3"/>
        <v>14.399999999999999</v>
      </c>
    </row>
    <row r="44" spans="1:18" x14ac:dyDescent="0.25">
      <c r="A44" s="239">
        <v>6.5</v>
      </c>
      <c r="B44" s="240" t="s">
        <v>925</v>
      </c>
      <c r="C44" s="270">
        <f>GETPIVOTDATA("Status",'Completion Tracking'!$A$3,"Subcategory ID",6.5,"Tier Name","Baseline")</f>
        <v>0</v>
      </c>
      <c r="D44" s="270">
        <f>GETPIVOTDATA("Status",'Completion Tracking'!$G$3,"Subcategory ID",6.5,"Tier Name","Baseline")</f>
        <v>0</v>
      </c>
      <c r="E44" s="271">
        <f>GETPIVOTDATA("Status",'Completion Tracking'!$A$3,"Subcategory ID",6.5,"Tier Name","Target")</f>
        <v>1</v>
      </c>
      <c r="F44" s="271">
        <f>GETPIVOTDATA("Status",'Completion Tracking'!$G$3,"Subcategory ID",6.5,"Tier Name","Target")</f>
        <v>1</v>
      </c>
      <c r="G44" s="271">
        <v>1</v>
      </c>
      <c r="H44" s="271">
        <v>4</v>
      </c>
      <c r="I44" s="270">
        <v>0</v>
      </c>
      <c r="J44" s="270">
        <f>(E44/F44)*F2</f>
        <v>60</v>
      </c>
      <c r="K44" s="270">
        <f>(G44/H44)*H2</f>
        <v>5</v>
      </c>
      <c r="L44" s="270">
        <f t="shared" si="4"/>
        <v>65</v>
      </c>
      <c r="M44" s="270">
        <f t="shared" si="1"/>
        <v>35</v>
      </c>
      <c r="N44" s="272">
        <f t="shared" si="6"/>
        <v>0.35</v>
      </c>
      <c r="O44" s="271">
        <f>'CRF Risk View'!K9</f>
        <v>12</v>
      </c>
      <c r="P44" s="270">
        <f t="shared" si="2"/>
        <v>4.1999999999999993</v>
      </c>
      <c r="Q44" s="272">
        <f>N44*D8</f>
        <v>0.42</v>
      </c>
      <c r="R44" s="270">
        <f t="shared" si="3"/>
        <v>5.04</v>
      </c>
    </row>
    <row r="45" spans="1:18" x14ac:dyDescent="0.25">
      <c r="A45" s="264">
        <v>7</v>
      </c>
      <c r="B45" s="265" t="s">
        <v>930</v>
      </c>
      <c r="C45" s="266">
        <f>SUM(C46)</f>
        <v>0</v>
      </c>
      <c r="D45" s="266">
        <f t="shared" ref="D45:H45" si="14">SUM(D46)</f>
        <v>0</v>
      </c>
      <c r="E45" s="266">
        <f t="shared" si="14"/>
        <v>0</v>
      </c>
      <c r="F45" s="266">
        <f t="shared" si="14"/>
        <v>1</v>
      </c>
      <c r="G45" s="266">
        <f t="shared" si="14"/>
        <v>4</v>
      </c>
      <c r="H45" s="266">
        <f t="shared" si="14"/>
        <v>5</v>
      </c>
      <c r="I45" s="266">
        <v>0</v>
      </c>
      <c r="J45" s="266">
        <f>(E45/F45)*F2</f>
        <v>0</v>
      </c>
      <c r="K45" s="266">
        <f>(G45/H45)*H2</f>
        <v>16</v>
      </c>
      <c r="L45" s="266">
        <f t="shared" si="4"/>
        <v>16</v>
      </c>
      <c r="M45" s="266">
        <f t="shared" si="1"/>
        <v>84</v>
      </c>
      <c r="N45" s="267">
        <f t="shared" si="6"/>
        <v>0.84</v>
      </c>
      <c r="O45" s="268">
        <f>SUM(O46)/1</f>
        <v>16</v>
      </c>
      <c r="P45" s="266">
        <f t="shared" si="2"/>
        <v>13.44</v>
      </c>
      <c r="Q45" s="267">
        <f>N45*D8</f>
        <v>1.008</v>
      </c>
      <c r="R45" s="266">
        <f t="shared" si="3"/>
        <v>16.128</v>
      </c>
    </row>
    <row r="46" spans="1:18" x14ac:dyDescent="0.25">
      <c r="A46" s="239">
        <v>7.1</v>
      </c>
      <c r="B46" s="240" t="s">
        <v>930</v>
      </c>
      <c r="C46" s="270">
        <f>GETPIVOTDATA("Status",'Completion Tracking'!$A$3,"Subcategory ID",7.1,"Tier Name","Baseline")</f>
        <v>0</v>
      </c>
      <c r="D46" s="270">
        <f>GETPIVOTDATA("Status",'Completion Tracking'!$G$3,"Subcategory ID",7.1,"Tier Name","Baseline")</f>
        <v>0</v>
      </c>
      <c r="E46" s="271">
        <f>GETPIVOTDATA("Status",'Completion Tracking'!$A$3,"Subcategory ID",7.1,"Tier Name","Target")</f>
        <v>0</v>
      </c>
      <c r="F46" s="271">
        <f>GETPIVOTDATA("Status",'Completion Tracking'!$G$3,"Subcategory ID",7.1,"Tier Name","Target")</f>
        <v>1</v>
      </c>
      <c r="G46" s="271">
        <f>GETPIVOTDATA("Status",'Completion Tracking'!$A$3,"Subcategory ID",7.1,"Tier Name","Advanced")</f>
        <v>4</v>
      </c>
      <c r="H46" s="271">
        <f>GETPIVOTDATA("Status",'Completion Tracking'!$G$3,"Subcategory ID",7.1,"Tier Name","Advanced")</f>
        <v>5</v>
      </c>
      <c r="I46" s="270">
        <v>0</v>
      </c>
      <c r="J46" s="270">
        <f>(E46/F46)*F2</f>
        <v>0</v>
      </c>
      <c r="K46" s="270">
        <f>(G46/H46)*H2</f>
        <v>16</v>
      </c>
      <c r="L46" s="270">
        <f t="shared" si="4"/>
        <v>16</v>
      </c>
      <c r="M46" s="270">
        <f>100-L46</f>
        <v>84</v>
      </c>
      <c r="N46" s="272">
        <f>M46/100</f>
        <v>0.84</v>
      </c>
      <c r="O46" s="271">
        <f>'CRF Risk View'!K10</f>
        <v>16</v>
      </c>
      <c r="P46" s="270">
        <f>O46*N46</f>
        <v>13.44</v>
      </c>
      <c r="Q46" s="272">
        <f>N46*D8</f>
        <v>1.008</v>
      </c>
      <c r="R46" s="270">
        <f t="shared" si="3"/>
        <v>16.128</v>
      </c>
    </row>
    <row r="47" spans="1:18" x14ac:dyDescent="0.25">
      <c r="A47" s="264">
        <v>8</v>
      </c>
      <c r="B47" s="265" t="s">
        <v>259</v>
      </c>
      <c r="C47" s="266">
        <f>SUM(C48:C51)</f>
        <v>14</v>
      </c>
      <c r="D47" s="266">
        <f t="shared" ref="D47:H47" si="15">SUM(D48:D51)</f>
        <v>14</v>
      </c>
      <c r="E47" s="266">
        <f t="shared" si="15"/>
        <v>5</v>
      </c>
      <c r="F47" s="266">
        <f t="shared" si="15"/>
        <v>9</v>
      </c>
      <c r="G47" s="266">
        <f t="shared" si="15"/>
        <v>5</v>
      </c>
      <c r="H47" s="266">
        <f t="shared" si="15"/>
        <v>10</v>
      </c>
      <c r="I47" s="266">
        <f>(C47/D47)*D1</f>
        <v>40</v>
      </c>
      <c r="J47" s="266">
        <f>(E47/F47)*F1</f>
        <v>13.888888888888889</v>
      </c>
      <c r="K47" s="266">
        <f>(G47/H47)*H1</f>
        <v>7.5</v>
      </c>
      <c r="L47" s="266">
        <f t="shared" si="4"/>
        <v>61.388888888888886</v>
      </c>
      <c r="M47" s="266">
        <f t="shared" si="1"/>
        <v>38.611111111111114</v>
      </c>
      <c r="N47" s="267">
        <f t="shared" si="6"/>
        <v>0.38611111111111113</v>
      </c>
      <c r="O47" s="268">
        <f>SUM(O48:O51)/4</f>
        <v>25</v>
      </c>
      <c r="P47" s="266">
        <f t="shared" si="2"/>
        <v>9.6527777777777786</v>
      </c>
      <c r="Q47" s="267">
        <f>N47*D8</f>
        <v>0.46333333333333332</v>
      </c>
      <c r="R47" s="266">
        <f t="shared" si="3"/>
        <v>11.583333333333332</v>
      </c>
    </row>
    <row r="48" spans="1:18" x14ac:dyDescent="0.25">
      <c r="A48" s="239">
        <v>8.1</v>
      </c>
      <c r="B48" s="240" t="s">
        <v>937</v>
      </c>
      <c r="C48" s="270">
        <f>GETPIVOTDATA("Status",'Completion Tracking'!$A$3,"Subcategory ID",8.1,"Tier Name","Baseline")</f>
        <v>7</v>
      </c>
      <c r="D48" s="270">
        <f>GETPIVOTDATA("Status",'Completion Tracking'!$G$3,"Subcategory ID",8.1,"Tier Name","Baseline")</f>
        <v>7</v>
      </c>
      <c r="E48" s="271">
        <f>GETPIVOTDATA("Status",'Completion Tracking'!$A$3,"Subcategory ID",8.1,"Tier Name","Target")</f>
        <v>0</v>
      </c>
      <c r="F48" s="271">
        <f>GETPIVOTDATA("Status",'Completion Tracking'!$G$3,"Subcategory ID",8.1,"Tier Name","Target")</f>
        <v>0</v>
      </c>
      <c r="G48" s="271">
        <f>GETPIVOTDATA("Status",'Completion Tracking'!$A$3,"Subcategory ID",8.1,"Tier Name","Advanced")</f>
        <v>0</v>
      </c>
      <c r="H48" s="271">
        <f>GETPIVOTDATA("Status",'Completion Tracking'!$G$3,"Subcategory ID",8.1,"Tier Name","Advanced")</f>
        <v>0</v>
      </c>
      <c r="I48" s="270">
        <f>(C48/D48)*D6</f>
        <v>80</v>
      </c>
      <c r="J48" s="271">
        <v>0</v>
      </c>
      <c r="K48" s="270">
        <v>0</v>
      </c>
      <c r="L48" s="270">
        <f t="shared" si="4"/>
        <v>80</v>
      </c>
      <c r="M48" s="270">
        <f t="shared" si="1"/>
        <v>20</v>
      </c>
      <c r="N48" s="272">
        <f t="shared" si="6"/>
        <v>0.2</v>
      </c>
      <c r="O48" s="270">
        <f>'CRF Risk View'!K11</f>
        <v>25</v>
      </c>
      <c r="P48" s="270">
        <f t="shared" si="2"/>
        <v>5</v>
      </c>
      <c r="Q48" s="272">
        <f>N48*D8</f>
        <v>0.24</v>
      </c>
      <c r="R48" s="270">
        <f t="shared" si="3"/>
        <v>6</v>
      </c>
    </row>
    <row r="49" spans="1:18" x14ac:dyDescent="0.25">
      <c r="A49" s="239">
        <v>8.1999999999999993</v>
      </c>
      <c r="B49" s="240" t="s">
        <v>946</v>
      </c>
      <c r="C49" s="270">
        <f>GETPIVOTDATA("Status",'Completion Tracking'!$A$3,"Subcategory ID",8.2,"Tier Name","Baseline")</f>
        <v>2</v>
      </c>
      <c r="D49" s="270">
        <f>GETPIVOTDATA("Status",'Completion Tracking'!$G$3,"Subcategory ID",8.2,"Tier Name","Baseline")</f>
        <v>2</v>
      </c>
      <c r="E49" s="271">
        <f>GETPIVOTDATA("Status",'Completion Tracking'!$A$3,"Subcategory ID",8.2,"Tier Name","Target")</f>
        <v>2</v>
      </c>
      <c r="F49" s="271">
        <f>GETPIVOTDATA("Status",'Completion Tracking'!$G$3,"Subcategory ID",8.2,"Tier Name","Target")</f>
        <v>4</v>
      </c>
      <c r="G49" s="271">
        <f>GETPIVOTDATA("Status",'Completion Tracking'!$A$3,"Subcategory ID",8.2,"Tier Name","Advanced")</f>
        <v>0</v>
      </c>
      <c r="H49" s="271">
        <f>GETPIVOTDATA("Status",'Completion Tracking'!$G$3,"Subcategory ID",8.2,"Tier Name","Advanced")</f>
        <v>3</v>
      </c>
      <c r="I49" s="270">
        <f>(C49/D49)*D1</f>
        <v>40</v>
      </c>
      <c r="J49" s="270">
        <f>(E49/F49)*F1</f>
        <v>12.5</v>
      </c>
      <c r="K49" s="270">
        <f>(G49/H49)*H1</f>
        <v>0</v>
      </c>
      <c r="L49" s="270">
        <f t="shared" si="4"/>
        <v>52.5</v>
      </c>
      <c r="M49" s="270">
        <f t="shared" si="1"/>
        <v>47.5</v>
      </c>
      <c r="N49" s="272">
        <f t="shared" si="6"/>
        <v>0.47499999999999998</v>
      </c>
      <c r="O49" s="270">
        <f>'CRF Risk View'!K11</f>
        <v>25</v>
      </c>
      <c r="P49" s="270">
        <f t="shared" si="2"/>
        <v>11.875</v>
      </c>
      <c r="Q49" s="272">
        <f>N49*D8</f>
        <v>0.56999999999999995</v>
      </c>
      <c r="R49" s="270">
        <f t="shared" si="3"/>
        <v>14.249999999999998</v>
      </c>
    </row>
    <row r="50" spans="1:18" x14ac:dyDescent="0.25">
      <c r="A50" s="239">
        <v>8.3000000000000007</v>
      </c>
      <c r="B50" s="240" t="s">
        <v>955</v>
      </c>
      <c r="C50" s="270">
        <f>GETPIVOTDATA("Status",'Completion Tracking'!$A$3,"Subcategory ID",8.3,"Tier Name","Baseline")</f>
        <v>3</v>
      </c>
      <c r="D50" s="270">
        <f>GETPIVOTDATA("Status",'Completion Tracking'!$G$3,"Subcategory ID",8.3,"Tier Name","Baseline")</f>
        <v>3</v>
      </c>
      <c r="E50" s="271">
        <f>GETPIVOTDATA("Status",'Completion Tracking'!$A$3,"Subcategory ID",8.3,"Tier Name","Target")</f>
        <v>1</v>
      </c>
      <c r="F50" s="271">
        <f>GETPIVOTDATA("Status",'Completion Tracking'!$G$3,"Subcategory ID",8.3,"Tier Name","Target")</f>
        <v>3</v>
      </c>
      <c r="G50" s="271">
        <f>GETPIVOTDATA("Status",'Completion Tracking'!$A$3,"Subcategory ID",8.3,"Tier Name","Advanced")</f>
        <v>4</v>
      </c>
      <c r="H50" s="271">
        <f>GETPIVOTDATA("Status",'Completion Tracking'!$G$3,"Subcategory ID",8.3,"Tier Name","Advanced")</f>
        <v>6</v>
      </c>
      <c r="I50" s="270">
        <f>(C50/D50)*D1</f>
        <v>40</v>
      </c>
      <c r="J50" s="270">
        <f>(E50/F50)*F1</f>
        <v>8.3333333333333321</v>
      </c>
      <c r="K50" s="270">
        <f>(G50/H50)*H1</f>
        <v>10</v>
      </c>
      <c r="L50" s="270">
        <f t="shared" si="4"/>
        <v>58.333333333333329</v>
      </c>
      <c r="M50" s="270">
        <f t="shared" si="1"/>
        <v>41.666666666666671</v>
      </c>
      <c r="N50" s="272">
        <f t="shared" si="6"/>
        <v>0.41666666666666674</v>
      </c>
      <c r="O50" s="270">
        <f>'CRF Risk View'!K11</f>
        <v>25</v>
      </c>
      <c r="P50" s="270">
        <f t="shared" si="2"/>
        <v>10.416666666666668</v>
      </c>
      <c r="Q50" s="272">
        <f>N50*D8</f>
        <v>0.50000000000000011</v>
      </c>
      <c r="R50" s="270">
        <f t="shared" si="3"/>
        <v>12.500000000000004</v>
      </c>
    </row>
    <row r="51" spans="1:18" x14ac:dyDescent="0.25">
      <c r="A51" s="239">
        <v>8.4</v>
      </c>
      <c r="B51" s="240" t="s">
        <v>968</v>
      </c>
      <c r="C51" s="270">
        <f>GETPIVOTDATA("Status",'Completion Tracking'!$A$3,"Subcategory ID",8.4,"Tier Name","Baseline")</f>
        <v>2</v>
      </c>
      <c r="D51" s="270">
        <f>GETPIVOTDATA("Status",'Completion Tracking'!$G$3,"Subcategory ID",8.4,"Tier Name","Baseline")</f>
        <v>2</v>
      </c>
      <c r="E51" s="271">
        <f>GETPIVOTDATA("Status",'Completion Tracking'!$A$3,"Subcategory ID",8.4,"Tier Name","Target")</f>
        <v>2</v>
      </c>
      <c r="F51" s="271">
        <f>GETPIVOTDATA("Status",'Completion Tracking'!$G$3,"Subcategory ID",8.4,"Tier Name","Target")</f>
        <v>2</v>
      </c>
      <c r="G51" s="271">
        <f>GETPIVOTDATA("Status",'Completion Tracking'!$A$3,"Subcategory ID",8.4,"Tier Name","Advanced")</f>
        <v>1</v>
      </c>
      <c r="H51" s="271">
        <f>GETPIVOTDATA("Status",'Completion Tracking'!$G$3,"Subcategory ID",8.4,"Tier Name","Advanced")</f>
        <v>1</v>
      </c>
      <c r="I51" s="270">
        <f>(C51/D51)*D1</f>
        <v>40</v>
      </c>
      <c r="J51" s="270">
        <f>(E51/F51)*F1</f>
        <v>25</v>
      </c>
      <c r="K51" s="270">
        <f>(G51/H51)*H1</f>
        <v>15</v>
      </c>
      <c r="L51" s="270">
        <f t="shared" si="4"/>
        <v>80</v>
      </c>
      <c r="M51" s="270">
        <f t="shared" si="1"/>
        <v>20</v>
      </c>
      <c r="N51" s="272">
        <f t="shared" si="6"/>
        <v>0.2</v>
      </c>
      <c r="O51" s="270">
        <f>'CRF Risk View'!K11</f>
        <v>25</v>
      </c>
      <c r="P51" s="270">
        <f t="shared" si="2"/>
        <v>5</v>
      </c>
      <c r="Q51" s="272">
        <f>N51*D8</f>
        <v>0.24</v>
      </c>
      <c r="R51" s="270">
        <f t="shared" si="3"/>
        <v>6</v>
      </c>
    </row>
    <row r="52" spans="1:18" x14ac:dyDescent="0.25">
      <c r="A52" s="264">
        <v>9</v>
      </c>
      <c r="B52" s="265" t="s">
        <v>974</v>
      </c>
      <c r="C52" s="266">
        <f>SUM(C53:C56)</f>
        <v>0</v>
      </c>
      <c r="D52" s="266">
        <f t="shared" ref="D52:H52" si="16">SUM(D53:D56)</f>
        <v>0</v>
      </c>
      <c r="E52" s="266">
        <f t="shared" si="16"/>
        <v>13</v>
      </c>
      <c r="F52" s="266">
        <f t="shared" si="16"/>
        <v>16</v>
      </c>
      <c r="G52" s="266">
        <f t="shared" si="16"/>
        <v>5</v>
      </c>
      <c r="H52" s="266">
        <f t="shared" si="16"/>
        <v>7</v>
      </c>
      <c r="I52" s="266">
        <v>0</v>
      </c>
      <c r="J52" s="266">
        <f>(E52/F52)*F2</f>
        <v>48.75</v>
      </c>
      <c r="K52" s="266">
        <f>(G52/H52)*H2</f>
        <v>14.285714285714286</v>
      </c>
      <c r="L52" s="266">
        <f t="shared" si="4"/>
        <v>63.035714285714285</v>
      </c>
      <c r="M52" s="266">
        <f t="shared" si="1"/>
        <v>36.964285714285715</v>
      </c>
      <c r="N52" s="267">
        <f t="shared" si="6"/>
        <v>0.36964285714285716</v>
      </c>
      <c r="O52" s="268">
        <f>SUM(O53:O56)/4</f>
        <v>20</v>
      </c>
      <c r="P52" s="266">
        <f t="shared" si="2"/>
        <v>7.3928571428571432</v>
      </c>
      <c r="Q52" s="267">
        <f>N52*D8</f>
        <v>0.44357142857142856</v>
      </c>
      <c r="R52" s="266">
        <f t="shared" si="3"/>
        <v>8.8714285714285719</v>
      </c>
    </row>
    <row r="53" spans="1:18" x14ac:dyDescent="0.25">
      <c r="A53" s="239">
        <v>9.1</v>
      </c>
      <c r="B53" s="240" t="s">
        <v>975</v>
      </c>
      <c r="C53" s="270">
        <f>GETPIVOTDATA("Status",'Completion Tracking'!$A$3,"Subcategory ID",9.1,"Tier Name","Baseline")</f>
        <v>0</v>
      </c>
      <c r="D53" s="270">
        <f>GETPIVOTDATA("Status",'Completion Tracking'!$G$3,"Subcategory ID",9.1,"Tier Name","Baseline")</f>
        <v>0</v>
      </c>
      <c r="E53" s="271">
        <f>GETPIVOTDATA("Status",'Completion Tracking'!$A$3,"Subcategory ID",9.1,"Tier Name","Target")</f>
        <v>3</v>
      </c>
      <c r="F53" s="271">
        <f>GETPIVOTDATA("Status",'Completion Tracking'!$G$3,"Subcategory ID",9.1,"Tier Name","Target")</f>
        <v>3</v>
      </c>
      <c r="G53" s="271">
        <f>GETPIVOTDATA("Status",'Completion Tracking'!$A$3,"Subcategory ID",9.1,"Tier Name","Advanced")</f>
        <v>2</v>
      </c>
      <c r="H53" s="271">
        <f>GETPIVOTDATA("Status",'Completion Tracking'!$G$3,"Subcategory ID",9.1,"Tier Name","Advanced")</f>
        <v>2</v>
      </c>
      <c r="I53" s="270">
        <v>0</v>
      </c>
      <c r="J53" s="270">
        <f>(E53/F53)*F2</f>
        <v>60</v>
      </c>
      <c r="K53" s="270">
        <f>(G53/H53)*H2</f>
        <v>20</v>
      </c>
      <c r="L53" s="270">
        <f t="shared" si="4"/>
        <v>80</v>
      </c>
      <c r="M53" s="270">
        <f t="shared" si="1"/>
        <v>20</v>
      </c>
      <c r="N53" s="272">
        <f t="shared" si="6"/>
        <v>0.2</v>
      </c>
      <c r="O53" s="270">
        <f>'CRF Risk View'!K12</f>
        <v>20</v>
      </c>
      <c r="P53" s="270">
        <f t="shared" si="2"/>
        <v>4</v>
      </c>
      <c r="Q53" s="272">
        <f>N53*D8</f>
        <v>0.24</v>
      </c>
      <c r="R53" s="270">
        <f t="shared" si="3"/>
        <v>4.8</v>
      </c>
    </row>
    <row r="54" spans="1:18" x14ac:dyDescent="0.25">
      <c r="A54" s="239">
        <v>9.1999999999999993</v>
      </c>
      <c r="B54" s="240" t="s">
        <v>981</v>
      </c>
      <c r="C54" s="270">
        <f>GETPIVOTDATA("Status",'Completion Tracking'!$A$3,"Subcategory ID",9.2,"Tier Name","Baseline")</f>
        <v>0</v>
      </c>
      <c r="D54" s="270">
        <f>GETPIVOTDATA("Status",'Completion Tracking'!$G$3,"Subcategory ID",9.2,"Tier Name","Baseline")</f>
        <v>0</v>
      </c>
      <c r="E54" s="271">
        <f>GETPIVOTDATA("Status",'Completion Tracking'!$A$3,"Subcategory ID",9.2,"Tier Name","Target")</f>
        <v>9</v>
      </c>
      <c r="F54" s="271">
        <f>GETPIVOTDATA("Status",'Completion Tracking'!$G$3,"Subcategory ID",9.2,"Tier Name","Target")</f>
        <v>10</v>
      </c>
      <c r="G54" s="271">
        <f>GETPIVOTDATA("Status",'Completion Tracking'!$A$3,"Subcategory ID",9.2,"Tier Name","Advanced")</f>
        <v>3</v>
      </c>
      <c r="H54" s="271">
        <f>GETPIVOTDATA("Status",'Completion Tracking'!$G$3,"Subcategory ID",9.2,"Tier Name","Advanced")</f>
        <v>4</v>
      </c>
      <c r="I54" s="270">
        <v>0</v>
      </c>
      <c r="J54" s="270">
        <f>(E54/F54)*F2</f>
        <v>54</v>
      </c>
      <c r="K54" s="270">
        <f>(G54/H54)*H2</f>
        <v>15</v>
      </c>
      <c r="L54" s="270">
        <f t="shared" si="4"/>
        <v>69</v>
      </c>
      <c r="M54" s="270">
        <f t="shared" si="1"/>
        <v>31</v>
      </c>
      <c r="N54" s="272">
        <f t="shared" si="6"/>
        <v>0.31</v>
      </c>
      <c r="O54" s="270">
        <f>'CRF Risk View'!K12</f>
        <v>20</v>
      </c>
      <c r="P54" s="270">
        <f t="shared" si="2"/>
        <v>6.2</v>
      </c>
      <c r="Q54" s="272">
        <f>N54*D8</f>
        <v>0.372</v>
      </c>
      <c r="R54" s="270">
        <f t="shared" si="3"/>
        <v>7.4399999999999995</v>
      </c>
    </row>
    <row r="55" spans="1:18" x14ac:dyDescent="0.25">
      <c r="A55" s="239">
        <v>9.3000000000000007</v>
      </c>
      <c r="B55" s="240" t="s">
        <v>267</v>
      </c>
      <c r="C55" s="270">
        <v>0</v>
      </c>
      <c r="D55" s="270">
        <f>GETPIVOTDATA("Status",'Completion Tracking'!$G$3,"Subcategory ID",9.3,"Tier Name","Baseline")</f>
        <v>0</v>
      </c>
      <c r="E55" s="271">
        <v>0</v>
      </c>
      <c r="F55" s="271">
        <f>GETPIVOTDATA("Status",'Completion Tracking'!$G$3,"Subcategory ID",9.3,"Tier Name","Target")</f>
        <v>2</v>
      </c>
      <c r="G55" s="271">
        <v>0</v>
      </c>
      <c r="H55" s="271">
        <f>GETPIVOTDATA("Status",'Completion Tracking'!$G$3,"Subcategory ID",9.3,"Tier Name","Advanced")</f>
        <v>1</v>
      </c>
      <c r="I55" s="270">
        <v>0</v>
      </c>
      <c r="J55" s="270">
        <f>(E55/F55)*F2</f>
        <v>0</v>
      </c>
      <c r="K55" s="270">
        <f>(G55/H55)*H2</f>
        <v>0</v>
      </c>
      <c r="L55" s="270">
        <f t="shared" si="4"/>
        <v>0</v>
      </c>
      <c r="M55" s="270">
        <f t="shared" si="1"/>
        <v>100</v>
      </c>
      <c r="N55" s="272">
        <f t="shared" si="6"/>
        <v>1</v>
      </c>
      <c r="O55" s="270">
        <f>'CRF Risk View'!K12</f>
        <v>20</v>
      </c>
      <c r="P55" s="270">
        <f t="shared" si="2"/>
        <v>20</v>
      </c>
      <c r="Q55" s="272">
        <f>N55*D8</f>
        <v>1.2</v>
      </c>
      <c r="R55" s="270">
        <f t="shared" si="3"/>
        <v>24</v>
      </c>
    </row>
    <row r="56" spans="1:18" x14ac:dyDescent="0.25">
      <c r="A56" s="239">
        <v>9.4</v>
      </c>
      <c r="B56" s="240" t="s">
        <v>998</v>
      </c>
      <c r="C56" s="270">
        <f>GETPIVOTDATA("Status",'Completion Tracking'!$A$3,"Subcategory ID",9.4,"Tier Name","Baseline")</f>
        <v>0</v>
      </c>
      <c r="D56" s="270">
        <f>GETPIVOTDATA("Status",'Completion Tracking'!$G$3,"Subcategory ID",9.4,"Tier Name","Baseline")</f>
        <v>0</v>
      </c>
      <c r="E56" s="271">
        <f>GETPIVOTDATA("Status",'Completion Tracking'!$A$3,"Subcategory ID",9.4,"Tier Name","Target")</f>
        <v>1</v>
      </c>
      <c r="F56" s="271">
        <f>GETPIVOTDATA("Status",'Completion Tracking'!$G$3,"Subcategory ID",9.4,"Tier Name","Target")</f>
        <v>1</v>
      </c>
      <c r="G56" s="271">
        <f>GETPIVOTDATA("Status",'Completion Tracking'!$A$3,"Subcategory ID",9.4,"Tier Name","Advanced")</f>
        <v>0</v>
      </c>
      <c r="H56" s="271">
        <f>GETPIVOTDATA("Status",'Completion Tracking'!$G$3,"Subcategory ID",9.4,"Tier Name","Advanced")</f>
        <v>0</v>
      </c>
      <c r="I56" s="270">
        <v>0</v>
      </c>
      <c r="J56" s="270">
        <f>(E56/F56)*F2</f>
        <v>60</v>
      </c>
      <c r="K56" s="270">
        <v>0</v>
      </c>
      <c r="L56" s="270">
        <f t="shared" si="4"/>
        <v>60</v>
      </c>
      <c r="M56" s="270">
        <f t="shared" si="1"/>
        <v>40</v>
      </c>
      <c r="N56" s="272">
        <f t="shared" si="6"/>
        <v>0.4</v>
      </c>
      <c r="O56" s="270">
        <f>'CRF Risk View'!K12</f>
        <v>20</v>
      </c>
      <c r="P56" s="270">
        <f t="shared" si="2"/>
        <v>8</v>
      </c>
      <c r="Q56" s="272">
        <f>N56*D8</f>
        <v>0.48</v>
      </c>
      <c r="R56" s="270">
        <f t="shared" si="3"/>
        <v>9.6</v>
      </c>
    </row>
    <row r="57" spans="1:18" x14ac:dyDescent="0.25">
      <c r="A57" s="264">
        <v>10</v>
      </c>
      <c r="B57" s="265" t="s">
        <v>1000</v>
      </c>
      <c r="C57" s="266">
        <f>SUM(C58:C59)</f>
        <v>0</v>
      </c>
      <c r="D57" s="266">
        <f t="shared" ref="D57:H57" si="17">SUM(D58:D59)</f>
        <v>0</v>
      </c>
      <c r="E57" s="266">
        <f t="shared" si="17"/>
        <v>0</v>
      </c>
      <c r="F57" s="266">
        <f t="shared" si="17"/>
        <v>0</v>
      </c>
      <c r="G57" s="266">
        <f t="shared" si="17"/>
        <v>4</v>
      </c>
      <c r="H57" s="266">
        <f t="shared" si="17"/>
        <v>4</v>
      </c>
      <c r="I57" s="266">
        <v>0</v>
      </c>
      <c r="J57" s="266">
        <v>0</v>
      </c>
      <c r="K57" s="266">
        <f>(G57/H57)*H3</f>
        <v>80</v>
      </c>
      <c r="L57" s="266">
        <f t="shared" si="4"/>
        <v>80</v>
      </c>
      <c r="M57" s="266">
        <f t="shared" si="1"/>
        <v>20</v>
      </c>
      <c r="N57" s="267">
        <f t="shared" si="6"/>
        <v>0.2</v>
      </c>
      <c r="O57" s="268">
        <f>SUM(O58:O59)/2</f>
        <v>12</v>
      </c>
      <c r="P57" s="266">
        <f t="shared" si="2"/>
        <v>2.4000000000000004</v>
      </c>
      <c r="Q57" s="267">
        <f>N57*D8</f>
        <v>0.24</v>
      </c>
      <c r="R57" s="266">
        <f t="shared" si="3"/>
        <v>2.88</v>
      </c>
    </row>
    <row r="58" spans="1:18" x14ac:dyDescent="0.25">
      <c r="A58" s="239">
        <v>10.1</v>
      </c>
      <c r="B58" s="240" t="s">
        <v>1001</v>
      </c>
      <c r="C58" s="270">
        <f>GETPIVOTDATA("Status",'Completion Tracking'!$A$3,"Subcategory ID",10.1,"Tier Name","Baseline")</f>
        <v>0</v>
      </c>
      <c r="D58" s="270">
        <f>GETPIVOTDATA("Status",'Completion Tracking'!$G$3,"Subcategory ID",10.1,"Tier Name","Baseline")</f>
        <v>0</v>
      </c>
      <c r="E58" s="271">
        <f>GETPIVOTDATA("Status",'Completion Tracking'!$A$3,"Subcategory ID",10.1,"Tier Name","Target")</f>
        <v>0</v>
      </c>
      <c r="F58" s="271">
        <f>GETPIVOTDATA("Status",'Completion Tracking'!$G$3,"Subcategory ID",10.1,"Tier Name","Target")</f>
        <v>0</v>
      </c>
      <c r="G58" s="271">
        <f>GETPIVOTDATA("Status",'Completion Tracking'!$A$3,"Subcategory ID",10.1,"Tier Name","Advanced")</f>
        <v>2</v>
      </c>
      <c r="H58" s="271">
        <f>GETPIVOTDATA("Status",'Completion Tracking'!$G$3,"Subcategory ID",10.1,"Tier Name","Advanced")</f>
        <v>2</v>
      </c>
      <c r="I58" s="270">
        <v>0</v>
      </c>
      <c r="J58" s="271">
        <v>0</v>
      </c>
      <c r="K58" s="270">
        <f>(G58/H58)*H3</f>
        <v>80</v>
      </c>
      <c r="L58" s="270">
        <f t="shared" si="4"/>
        <v>80</v>
      </c>
      <c r="M58" s="270">
        <f t="shared" si="1"/>
        <v>20</v>
      </c>
      <c r="N58" s="272">
        <f t="shared" si="6"/>
        <v>0.2</v>
      </c>
      <c r="O58" s="270">
        <f>'CRF Risk View'!K13</f>
        <v>12</v>
      </c>
      <c r="P58" s="270">
        <f t="shared" si="2"/>
        <v>2.4000000000000004</v>
      </c>
      <c r="Q58" s="272">
        <f>N58*D8</f>
        <v>0.24</v>
      </c>
      <c r="R58" s="270">
        <f t="shared" si="3"/>
        <v>2.88</v>
      </c>
    </row>
    <row r="59" spans="1:18" x14ac:dyDescent="0.25">
      <c r="A59" s="239">
        <v>10.199999999999999</v>
      </c>
      <c r="B59" s="240" t="s">
        <v>1004</v>
      </c>
      <c r="C59" s="270">
        <f>GETPIVOTDATA("Status",'Completion Tracking'!$A$3,"Subcategory ID",10.2,"Tier Name","Baseline")</f>
        <v>0</v>
      </c>
      <c r="D59" s="270">
        <f>GETPIVOTDATA("Status",'Completion Tracking'!$G$3,"Subcategory ID",10.2,"Tier Name","Baseline")</f>
        <v>0</v>
      </c>
      <c r="E59" s="271">
        <f>GETPIVOTDATA("Status",'Completion Tracking'!$A$3,"Subcategory ID",10.2,"Tier Name","Baseline")</f>
        <v>0</v>
      </c>
      <c r="F59" s="271">
        <f>GETPIVOTDATA("Status",'Completion Tracking'!$G$3,"Subcategory ID",10.2,"Tier Name","Target")</f>
        <v>0</v>
      </c>
      <c r="G59" s="271">
        <f>GETPIVOTDATA("Status",'Completion Tracking'!$A$3,"Subcategory ID",10.2,"Tier Name","Advanced")</f>
        <v>2</v>
      </c>
      <c r="H59" s="271">
        <f>GETPIVOTDATA("Status",'Completion Tracking'!$G$3,"Subcategory ID",10.2,"Tier Name","Advanced")</f>
        <v>2</v>
      </c>
      <c r="I59" s="270">
        <v>0</v>
      </c>
      <c r="J59" s="271">
        <v>0</v>
      </c>
      <c r="K59" s="270">
        <f>(G59/H59)*H3</f>
        <v>80</v>
      </c>
      <c r="L59" s="270">
        <f t="shared" si="4"/>
        <v>80</v>
      </c>
      <c r="M59" s="270">
        <f t="shared" si="1"/>
        <v>20</v>
      </c>
      <c r="N59" s="272">
        <f t="shared" si="6"/>
        <v>0.2</v>
      </c>
      <c r="O59" s="270">
        <f>'CRF Risk View'!K13</f>
        <v>12</v>
      </c>
      <c r="P59" s="270">
        <f t="shared" si="2"/>
        <v>2.4000000000000004</v>
      </c>
      <c r="Q59" s="272">
        <f>N59*D8</f>
        <v>0.24</v>
      </c>
      <c r="R59" s="270">
        <f t="shared" si="3"/>
        <v>2.88</v>
      </c>
    </row>
    <row r="60" spans="1:18" x14ac:dyDescent="0.25">
      <c r="A60" s="264">
        <v>11</v>
      </c>
      <c r="B60" s="265" t="s">
        <v>1007</v>
      </c>
      <c r="C60" s="266">
        <f>SUM(C61:C62)</f>
        <v>0</v>
      </c>
      <c r="D60" s="266">
        <f t="shared" ref="D60:H60" si="18">SUM(D61:D62)</f>
        <v>0</v>
      </c>
      <c r="E60" s="266">
        <f t="shared" si="18"/>
        <v>4</v>
      </c>
      <c r="F60" s="266">
        <f t="shared" si="18"/>
        <v>4</v>
      </c>
      <c r="G60" s="266">
        <f t="shared" si="18"/>
        <v>3</v>
      </c>
      <c r="H60" s="266">
        <f t="shared" si="18"/>
        <v>4</v>
      </c>
      <c r="I60" s="266">
        <v>0</v>
      </c>
      <c r="J60" s="266">
        <f>(E60/F60)*F2</f>
        <v>60</v>
      </c>
      <c r="K60" s="266">
        <f>(G60/H60)*H2</f>
        <v>15</v>
      </c>
      <c r="L60" s="266">
        <f t="shared" si="4"/>
        <v>75</v>
      </c>
      <c r="M60" s="266">
        <f t="shared" si="1"/>
        <v>25</v>
      </c>
      <c r="N60" s="267">
        <f t="shared" si="6"/>
        <v>0.25</v>
      </c>
      <c r="O60" s="268">
        <f>SUM(O61:O62)/2</f>
        <v>12</v>
      </c>
      <c r="P60" s="266">
        <f t="shared" si="2"/>
        <v>3</v>
      </c>
      <c r="Q60" s="267">
        <f>N60*D8</f>
        <v>0.3</v>
      </c>
      <c r="R60" s="266">
        <f t="shared" si="3"/>
        <v>3.5999999999999996</v>
      </c>
    </row>
    <row r="61" spans="1:18" x14ac:dyDescent="0.25">
      <c r="A61" s="239">
        <v>11.1</v>
      </c>
      <c r="B61" s="240" t="s">
        <v>259</v>
      </c>
      <c r="C61" s="270">
        <f>GETPIVOTDATA("Status",'Completion Tracking'!$A$3,"Subcategory ID",11.1,"Tier Name","Baseline")</f>
        <v>0</v>
      </c>
      <c r="D61" s="270">
        <f>GETPIVOTDATA("Status",'Completion Tracking'!$G$3,"Subcategory ID",11.1,"Tier Name","Baseline")</f>
        <v>0</v>
      </c>
      <c r="E61" s="271">
        <f>GETPIVOTDATA("Status",'Completion Tracking'!$A$3,"Subcategory ID",11.1,"Tier Name","Target")</f>
        <v>2</v>
      </c>
      <c r="F61" s="271">
        <f>GETPIVOTDATA("Status",'Completion Tracking'!$G$3,"Subcategory ID",11.1,"Tier Name","Target")</f>
        <v>2</v>
      </c>
      <c r="G61" s="271">
        <f>GETPIVOTDATA("Status",'Completion Tracking'!$A$3,"Subcategory ID",11.1,"Tier Name","Advanced")</f>
        <v>1</v>
      </c>
      <c r="H61" s="271">
        <f>GETPIVOTDATA("Status",'Completion Tracking'!$G$3,"Subcategory ID",11.1,"Tier Name","Target")</f>
        <v>2</v>
      </c>
      <c r="I61" s="270">
        <v>0</v>
      </c>
      <c r="J61" s="270">
        <f>(E61/F61)*F2</f>
        <v>60</v>
      </c>
      <c r="K61" s="270">
        <f>(G61/H61)*H2</f>
        <v>10</v>
      </c>
      <c r="L61" s="270">
        <f t="shared" si="4"/>
        <v>70</v>
      </c>
      <c r="M61" s="270">
        <f t="shared" si="1"/>
        <v>30</v>
      </c>
      <c r="N61" s="272">
        <f t="shared" si="6"/>
        <v>0.3</v>
      </c>
      <c r="O61" s="270">
        <f>'CRF Risk View'!K14</f>
        <v>12</v>
      </c>
      <c r="P61" s="270">
        <f t="shared" si="2"/>
        <v>3.5999999999999996</v>
      </c>
      <c r="Q61" s="272">
        <f>N61*D8</f>
        <v>0.36</v>
      </c>
      <c r="R61" s="270">
        <f t="shared" si="3"/>
        <v>4.32</v>
      </c>
    </row>
    <row r="62" spans="1:18" x14ac:dyDescent="0.25">
      <c r="A62" s="239">
        <v>11.2</v>
      </c>
      <c r="B62" s="240" t="s">
        <v>1011</v>
      </c>
      <c r="C62" s="270">
        <f>GETPIVOTDATA("Status",'Completion Tracking'!$A$3,"Subcategory ID",11.2,"Tier Name","Baseline")</f>
        <v>0</v>
      </c>
      <c r="D62" s="270">
        <f>GETPIVOTDATA("Status",'Completion Tracking'!$G$3,"Subcategory ID",11.2,"Tier Name","Baseline")</f>
        <v>0</v>
      </c>
      <c r="E62" s="271">
        <f>GETPIVOTDATA("Status",'Completion Tracking'!$A$3,"Subcategory ID",11.2,"Tier Name","Target")</f>
        <v>2</v>
      </c>
      <c r="F62" s="271">
        <f>GETPIVOTDATA("Status",'Completion Tracking'!$G$3,"Subcategory ID",11.2,"Tier Name","Target")</f>
        <v>2</v>
      </c>
      <c r="G62" s="271">
        <f>GETPIVOTDATA("Status",'Completion Tracking'!$A$3,"Subcategory ID",11.2,"Tier Name","Advanced")</f>
        <v>2</v>
      </c>
      <c r="H62" s="271">
        <f>GETPIVOTDATA("Status",'Completion Tracking'!$G$3,"Subcategory ID",11.2,"Tier Name","Target")</f>
        <v>2</v>
      </c>
      <c r="I62" s="270">
        <v>0</v>
      </c>
      <c r="J62" s="270">
        <f>(E62/F62)*F2</f>
        <v>60</v>
      </c>
      <c r="K62" s="270">
        <f>(G62/H62)*H2</f>
        <v>20</v>
      </c>
      <c r="L62" s="270">
        <f t="shared" si="4"/>
        <v>80</v>
      </c>
      <c r="M62" s="270">
        <f t="shared" si="1"/>
        <v>20</v>
      </c>
      <c r="N62" s="272">
        <f t="shared" si="6"/>
        <v>0.2</v>
      </c>
      <c r="O62" s="270">
        <f>'CRF Risk View'!K14</f>
        <v>12</v>
      </c>
      <c r="P62" s="270">
        <f t="shared" si="2"/>
        <v>2.4000000000000004</v>
      </c>
      <c r="Q62" s="272">
        <f>N62*D8</f>
        <v>0.24</v>
      </c>
      <c r="R62" s="270">
        <f t="shared" si="3"/>
        <v>2.88</v>
      </c>
    </row>
    <row r="63" spans="1:18" x14ac:dyDescent="0.25">
      <c r="A63" s="264">
        <v>12</v>
      </c>
      <c r="B63" s="265" t="s">
        <v>426</v>
      </c>
      <c r="C63" s="266">
        <f>SUM(C64:C67)</f>
        <v>5</v>
      </c>
      <c r="D63" s="266">
        <f t="shared" ref="D63:H63" si="19">SUM(D64:D67)</f>
        <v>5</v>
      </c>
      <c r="E63" s="266">
        <f t="shared" si="19"/>
        <v>7</v>
      </c>
      <c r="F63" s="266">
        <f t="shared" si="19"/>
        <v>9</v>
      </c>
      <c r="G63" s="266">
        <f t="shared" si="19"/>
        <v>13</v>
      </c>
      <c r="H63" s="266">
        <f t="shared" si="19"/>
        <v>19</v>
      </c>
      <c r="I63" s="266">
        <f>(C63/D63)*D1</f>
        <v>40</v>
      </c>
      <c r="J63" s="266">
        <f>(E63/F63)*F1</f>
        <v>19.444444444444446</v>
      </c>
      <c r="K63" s="266">
        <f>(G63/H63)*H1</f>
        <v>10.263157894736842</v>
      </c>
      <c r="L63" s="266">
        <f t="shared" si="4"/>
        <v>69.707602339181278</v>
      </c>
      <c r="M63" s="266">
        <f t="shared" si="1"/>
        <v>30.292397660818722</v>
      </c>
      <c r="N63" s="267">
        <f t="shared" si="6"/>
        <v>0.30292397660818721</v>
      </c>
      <c r="O63" s="268">
        <f>SUM(O64:O67)/4</f>
        <v>15</v>
      </c>
      <c r="P63" s="266">
        <f t="shared" si="2"/>
        <v>4.5438596491228083</v>
      </c>
      <c r="Q63" s="267">
        <f>N63*D8</f>
        <v>0.36350877192982461</v>
      </c>
      <c r="R63" s="266">
        <f t="shared" si="3"/>
        <v>5.4526315789473694</v>
      </c>
    </row>
    <row r="64" spans="1:18" x14ac:dyDescent="0.25">
      <c r="A64" s="239">
        <v>12.1</v>
      </c>
      <c r="B64" s="240" t="s">
        <v>709</v>
      </c>
      <c r="C64" s="270">
        <f>GETPIVOTDATA("Status",'Completion Tracking'!$A$3,"Subcategory ID",12.1,"Tier Name","Baseline")</f>
        <v>5</v>
      </c>
      <c r="D64" s="270">
        <f>GETPIVOTDATA("Status",'Completion Tracking'!$G$3,"Subcategory ID",12.1,"Tier Name","Baseline")</f>
        <v>5</v>
      </c>
      <c r="E64" s="271">
        <f>GETPIVOTDATA("Status",'Completion Tracking'!$A$3,"Subcategory ID",12.1,"Tier Name","Target")</f>
        <v>3</v>
      </c>
      <c r="F64" s="271">
        <f>GETPIVOTDATA("Status",'Completion Tracking'!$G$3,"Subcategory ID",12.1,"Tier Name","Target")</f>
        <v>3</v>
      </c>
      <c r="G64" s="271">
        <f>GETPIVOTDATA("Status",'Completion Tracking'!$A$3,"Subcategory ID",12.1,"Tier Name","Advanced")</f>
        <v>4</v>
      </c>
      <c r="H64" s="271">
        <f>GETPIVOTDATA("Status",'Completion Tracking'!$G$3,"Subcategory ID",12.1,"Tier Name","Advanced")</f>
        <v>4</v>
      </c>
      <c r="I64" s="270">
        <v>0</v>
      </c>
      <c r="J64" s="270">
        <f>(E64/F64)*F1</f>
        <v>25</v>
      </c>
      <c r="K64" s="270">
        <f>(G64/H64)*H1</f>
        <v>15</v>
      </c>
      <c r="L64" s="270">
        <f t="shared" si="4"/>
        <v>40</v>
      </c>
      <c r="M64" s="270">
        <f t="shared" si="1"/>
        <v>60</v>
      </c>
      <c r="N64" s="272">
        <f t="shared" si="6"/>
        <v>0.6</v>
      </c>
      <c r="O64" s="270">
        <f>'CRF Risk View'!K15</f>
        <v>15</v>
      </c>
      <c r="P64" s="270">
        <f t="shared" si="2"/>
        <v>9</v>
      </c>
      <c r="Q64" s="272">
        <f>N64*D8</f>
        <v>0.72</v>
      </c>
      <c r="R64" s="270">
        <f t="shared" si="3"/>
        <v>10.799999999999999</v>
      </c>
    </row>
    <row r="65" spans="1:18" x14ac:dyDescent="0.25">
      <c r="A65" s="239">
        <v>12.2</v>
      </c>
      <c r="B65" s="240" t="s">
        <v>1028</v>
      </c>
      <c r="C65" s="270">
        <f>GETPIVOTDATA("Status",'Completion Tracking'!$A$3,"Subcategory ID",12.2,"Tier Name","Baseline")</f>
        <v>0</v>
      </c>
      <c r="D65" s="270">
        <f>GETPIVOTDATA("Status",'Completion Tracking'!$G$3,"Subcategory ID",12.2,"Tier Name","Baseline")</f>
        <v>0</v>
      </c>
      <c r="E65" s="271">
        <f>GETPIVOTDATA("Status",'Completion Tracking'!$A$3,"Subcategory ID","12.2","Tier Name","Target")</f>
        <v>1</v>
      </c>
      <c r="F65" s="271">
        <f>GETPIVOTDATA("Status",'Completion Tracking'!$G$3,"Subcategory ID","12.2","Tier Name","Target")</f>
        <v>1</v>
      </c>
      <c r="G65" s="271">
        <f>GETPIVOTDATA("Status",'Completion Tracking'!$A$3,"Subcategory ID",12.2,"Tier Name","Advanced")</f>
        <v>4</v>
      </c>
      <c r="H65" s="271">
        <f>GETPIVOTDATA("Status",'Completion Tracking'!$G$3,"Subcategory ID",12.2,"Tier Name","Advanced")</f>
        <v>8</v>
      </c>
      <c r="I65" s="270">
        <v>0</v>
      </c>
      <c r="J65" s="270">
        <f>(E65/F65)*F2</f>
        <v>60</v>
      </c>
      <c r="K65" s="270">
        <f>(G65/H65)*H2</f>
        <v>10</v>
      </c>
      <c r="L65" s="270">
        <f t="shared" si="4"/>
        <v>70</v>
      </c>
      <c r="M65" s="270">
        <f t="shared" si="1"/>
        <v>30</v>
      </c>
      <c r="N65" s="272">
        <f t="shared" si="6"/>
        <v>0.3</v>
      </c>
      <c r="O65" s="270">
        <f>'CRF Risk View'!K15</f>
        <v>15</v>
      </c>
      <c r="P65" s="270">
        <f t="shared" si="2"/>
        <v>4.5</v>
      </c>
      <c r="Q65" s="272">
        <f>N65*D8</f>
        <v>0.36</v>
      </c>
      <c r="R65" s="270">
        <f t="shared" si="3"/>
        <v>5.3999999999999995</v>
      </c>
    </row>
    <row r="66" spans="1:18" x14ac:dyDescent="0.25">
      <c r="A66" s="239">
        <v>12.3</v>
      </c>
      <c r="B66" s="240" t="s">
        <v>1036</v>
      </c>
      <c r="C66" s="270">
        <f>GETPIVOTDATA("Status",'Completion Tracking'!$A$3,"Subcategory ID",12.3,"Tier Name","Baseline")</f>
        <v>0</v>
      </c>
      <c r="D66" s="270">
        <f>GETPIVOTDATA("Status",'Completion Tracking'!$G$3,"Subcategory ID",12.3,"Tier Name","Baseline")</f>
        <v>0</v>
      </c>
      <c r="E66" s="271">
        <f>GETPIVOTDATA("Status",'Completion Tracking'!$A$3,"Subcategory ID",12.3,"Tier Name","Target")</f>
        <v>2</v>
      </c>
      <c r="F66" s="271">
        <f>GETPIVOTDATA("Status",'Completion Tracking'!$G$3,"Subcategory ID",12.3,"Tier Name","Target")</f>
        <v>2</v>
      </c>
      <c r="G66" s="271">
        <f>GETPIVOTDATA("Status",'Completion Tracking'!$A$3,"Subcategory ID",12.3,"Tier Name","Advanced")</f>
        <v>3</v>
      </c>
      <c r="H66" s="271">
        <f>GETPIVOTDATA("Status",'Completion Tracking'!$G$3,"Subcategory ID",12.3,"Tier Name","Advanced")</f>
        <v>3</v>
      </c>
      <c r="I66" s="270">
        <v>0</v>
      </c>
      <c r="J66" s="270">
        <f>(E66/F66)*F2</f>
        <v>60</v>
      </c>
      <c r="K66" s="270">
        <f>(G66/H66)*H2</f>
        <v>20</v>
      </c>
      <c r="L66" s="270">
        <f t="shared" si="4"/>
        <v>80</v>
      </c>
      <c r="M66" s="270">
        <f t="shared" si="1"/>
        <v>20</v>
      </c>
      <c r="N66" s="272">
        <f t="shared" si="6"/>
        <v>0.2</v>
      </c>
      <c r="O66" s="270">
        <f>'CRF Risk View'!K15</f>
        <v>15</v>
      </c>
      <c r="P66" s="270">
        <f t="shared" si="2"/>
        <v>3</v>
      </c>
      <c r="Q66" s="272">
        <f>N66*D8</f>
        <v>0.24</v>
      </c>
      <c r="R66" s="270">
        <f t="shared" si="3"/>
        <v>3.5999999999999996</v>
      </c>
    </row>
    <row r="67" spans="1:18" x14ac:dyDescent="0.25">
      <c r="A67" s="239">
        <v>12.4</v>
      </c>
      <c r="B67" s="240" t="s">
        <v>1041</v>
      </c>
      <c r="C67" s="270">
        <f>GETPIVOTDATA("Status",'Completion Tracking'!$A$3,"Subcategory ID","12.2","Tier Name","Baseline")</f>
        <v>0</v>
      </c>
      <c r="D67" s="270">
        <f>GETPIVOTDATA("Status",'Completion Tracking'!$G$3,"Subcategory ID",12.4,"Tier Name","Baseline")</f>
        <v>0</v>
      </c>
      <c r="E67" s="271">
        <f>GETPIVOTDATA("Status",'Completion Tracking'!$A$3,"Subcategory ID",12.4,"Tier Name","Target")</f>
        <v>1</v>
      </c>
      <c r="F67" s="271">
        <f>GETPIVOTDATA("Status",'Completion Tracking'!$G$3,"Subcategory ID",12.4,"Tier Name","Target")</f>
        <v>3</v>
      </c>
      <c r="G67" s="271">
        <f>GETPIVOTDATA("Status",'Completion Tracking'!$A$3,"Subcategory ID",12.4,"Tier Name","Advanced")</f>
        <v>2</v>
      </c>
      <c r="H67" s="271">
        <f>GETPIVOTDATA("Status",'Completion Tracking'!$G$3,"Subcategory ID",12.4,"Tier Name","Advanced")</f>
        <v>4</v>
      </c>
      <c r="I67" s="270">
        <v>0</v>
      </c>
      <c r="J67" s="270">
        <f>(E67/F67)*F2</f>
        <v>20</v>
      </c>
      <c r="K67" s="270">
        <f>(G67/H67)*H2</f>
        <v>10</v>
      </c>
      <c r="L67" s="270">
        <f t="shared" si="4"/>
        <v>30</v>
      </c>
      <c r="M67" s="270">
        <f t="shared" si="1"/>
        <v>70</v>
      </c>
      <c r="N67" s="272">
        <f t="shared" si="6"/>
        <v>0.7</v>
      </c>
      <c r="O67" s="270">
        <f>'CRF Risk View'!K15</f>
        <v>15</v>
      </c>
      <c r="P67" s="270">
        <f t="shared" si="2"/>
        <v>10.5</v>
      </c>
      <c r="Q67" s="272">
        <f>N67*D8</f>
        <v>0.84</v>
      </c>
      <c r="R67" s="270">
        <f t="shared" si="3"/>
        <v>12.6</v>
      </c>
    </row>
    <row r="68" spans="1:18" x14ac:dyDescent="0.25">
      <c r="A68" s="264">
        <v>13</v>
      </c>
      <c r="B68" s="265" t="s">
        <v>1049</v>
      </c>
      <c r="C68" s="266">
        <f>SUM(C69:C78)</f>
        <v>7</v>
      </c>
      <c r="D68" s="266">
        <f t="shared" ref="D68:H68" si="20">SUM(D69:D78)</f>
        <v>7</v>
      </c>
      <c r="E68" s="266">
        <f t="shared" si="20"/>
        <v>17</v>
      </c>
      <c r="F68" s="266">
        <f t="shared" si="20"/>
        <v>22</v>
      </c>
      <c r="G68" s="266">
        <f t="shared" si="20"/>
        <v>3</v>
      </c>
      <c r="H68" s="266">
        <f t="shared" si="20"/>
        <v>9</v>
      </c>
      <c r="I68" s="266">
        <f>(C68/D68)*D1</f>
        <v>40</v>
      </c>
      <c r="J68" s="266">
        <f>(E68/F68)*F1</f>
        <v>19.318181818181817</v>
      </c>
      <c r="K68" s="266">
        <f>(G68/H68)*H1</f>
        <v>5</v>
      </c>
      <c r="L68" s="266">
        <f t="shared" si="4"/>
        <v>64.318181818181813</v>
      </c>
      <c r="M68" s="266">
        <f t="shared" si="1"/>
        <v>35.681818181818187</v>
      </c>
      <c r="N68" s="267">
        <f t="shared" si="6"/>
        <v>0.35681818181818187</v>
      </c>
      <c r="O68" s="268">
        <f>SUM(O69:O78)/10</f>
        <v>12</v>
      </c>
      <c r="P68" s="266">
        <f t="shared" si="2"/>
        <v>4.2818181818181822</v>
      </c>
      <c r="Q68" s="267">
        <f>N68*D8</f>
        <v>0.42818181818181822</v>
      </c>
      <c r="R68" s="266">
        <f t="shared" si="3"/>
        <v>5.1381818181818186</v>
      </c>
    </row>
    <row r="69" spans="1:18" x14ac:dyDescent="0.25">
      <c r="A69" s="239">
        <v>13.1</v>
      </c>
      <c r="B69" s="240" t="s">
        <v>1050</v>
      </c>
      <c r="C69" s="270">
        <f>GETPIVOTDATA("Status",'Completion Tracking'!$A$3,"Subcategory ID",13.1,"Tier Name","Baseline")</f>
        <v>1</v>
      </c>
      <c r="D69" s="270">
        <f>GETPIVOTDATA("Status",'Completion Tracking'!$G$3,"Subcategory ID",13.1,"Tier Name","Baseline")</f>
        <v>1</v>
      </c>
      <c r="E69" s="271">
        <f>GETPIVOTDATA("Status",'Completion Tracking'!$A$3,"Subcategory ID",13.1,"Tier Name","Target")</f>
        <v>3</v>
      </c>
      <c r="F69" s="271">
        <f>GETPIVOTDATA("Status",'Completion Tracking'!$G$3,"Subcategory ID",13.1,"Tier Name","Target")</f>
        <v>3</v>
      </c>
      <c r="G69" s="271">
        <f>GETPIVOTDATA("Status",'Completion Tracking'!$A$3,"Subcategory ID",13.1,"Tier Name","Advanced")</f>
        <v>0</v>
      </c>
      <c r="H69" s="271">
        <f>GETPIVOTDATA("Status",'Completion Tracking'!$G$3,"Subcategory ID",13.1,"Tier Name","Advanced")</f>
        <v>0</v>
      </c>
      <c r="I69" s="270">
        <f>(C69/D69)*D4</f>
        <v>50</v>
      </c>
      <c r="J69" s="270">
        <f t="shared" ref="J69" si="21">(E69/F69)*F4</f>
        <v>30</v>
      </c>
      <c r="K69" s="270">
        <v>0</v>
      </c>
      <c r="L69" s="270">
        <f t="shared" si="4"/>
        <v>80</v>
      </c>
      <c r="M69" s="270">
        <f t="shared" si="1"/>
        <v>20</v>
      </c>
      <c r="N69" s="272">
        <f t="shared" si="6"/>
        <v>0.2</v>
      </c>
      <c r="O69" s="270">
        <f>'CRF Risk View'!K16</f>
        <v>12</v>
      </c>
      <c r="P69" s="270">
        <f t="shared" si="2"/>
        <v>2.4000000000000004</v>
      </c>
      <c r="Q69" s="272">
        <f>N69*D8</f>
        <v>0.24</v>
      </c>
      <c r="R69" s="270">
        <f t="shared" si="3"/>
        <v>2.88</v>
      </c>
    </row>
    <row r="70" spans="1:18" x14ac:dyDescent="0.25">
      <c r="A70" s="239">
        <v>13.2</v>
      </c>
      <c r="B70" s="240" t="s">
        <v>1055</v>
      </c>
      <c r="C70" s="270">
        <f>GETPIVOTDATA("Status",'Completion Tracking'!$A$3,"Subcategory ID",13.2,"Tier Name","Baseline")</f>
        <v>1</v>
      </c>
      <c r="D70" s="270">
        <f>GETPIVOTDATA("Status",'Completion Tracking'!$G$3,"Subcategory ID",13.2,"Tier Name","Baseline")</f>
        <v>1</v>
      </c>
      <c r="E70" s="271">
        <f>GETPIVOTDATA("Status",'Completion Tracking'!$A$3,"Subcategory ID",13.2,"Tier Name","Target")</f>
        <v>3</v>
      </c>
      <c r="F70" s="271">
        <f>GETPIVOTDATA("Status",'Completion Tracking'!$G$3,"Subcategory ID",13.2,"Tier Name","Target")</f>
        <v>3</v>
      </c>
      <c r="G70" s="271">
        <f>GETPIVOTDATA("Status",'Completion Tracking'!$A$3,"Subcategory ID",13.2,"Tier Name","Advanced")</f>
        <v>0</v>
      </c>
      <c r="H70" s="271">
        <f>GETPIVOTDATA("Status",'Completion Tracking'!$G$3,"Subcategory ID",13.2,"Tier Name","Advanced")</f>
        <v>0</v>
      </c>
      <c r="I70" s="270">
        <f>(C70/D70)*D4</f>
        <v>50</v>
      </c>
      <c r="J70" s="270">
        <f>(E70/F70)*F4</f>
        <v>30</v>
      </c>
      <c r="K70" s="270">
        <v>0</v>
      </c>
      <c r="L70" s="270">
        <f t="shared" si="4"/>
        <v>80</v>
      </c>
      <c r="M70" s="270">
        <f t="shared" si="1"/>
        <v>20</v>
      </c>
      <c r="N70" s="272">
        <f t="shared" si="6"/>
        <v>0.2</v>
      </c>
      <c r="O70" s="270">
        <f>'CRF Risk View'!K16</f>
        <v>12</v>
      </c>
      <c r="P70" s="270">
        <f t="shared" si="2"/>
        <v>2.4000000000000004</v>
      </c>
      <c r="Q70" s="272">
        <f>N70*D8</f>
        <v>0.24</v>
      </c>
      <c r="R70" s="270">
        <f t="shared" si="3"/>
        <v>2.88</v>
      </c>
    </row>
    <row r="71" spans="1:18" x14ac:dyDescent="0.25">
      <c r="A71" s="239">
        <v>13.3</v>
      </c>
      <c r="B71" s="240" t="s">
        <v>1060</v>
      </c>
      <c r="C71" s="270">
        <f>GETPIVOTDATA("Status",'Completion Tracking'!$A$3,"Subcategory ID",13.3,"Tier Name","Baseline")</f>
        <v>1</v>
      </c>
      <c r="D71" s="270">
        <f>GETPIVOTDATA("Status",'Completion Tracking'!$G$3,"Subcategory ID",13.3,"Tier Name","Baseline")</f>
        <v>1</v>
      </c>
      <c r="E71" s="271">
        <f>GETPIVOTDATA("Status",'Completion Tracking'!$A$3,"Subcategory ID",13.3,"Tier Name","Target")</f>
        <v>1</v>
      </c>
      <c r="F71" s="271">
        <f>GETPIVOTDATA("Status",'Completion Tracking'!$G$3,"Subcategory ID",13.3,"Tier Name","Target")</f>
        <v>1</v>
      </c>
      <c r="G71" s="271">
        <f>GETPIVOTDATA("Status",'Completion Tracking'!$A$3,"Subcategory ID",13.3,"Tier Name","Advanced")</f>
        <v>0</v>
      </c>
      <c r="H71" s="271">
        <f>GETPIVOTDATA("Status",'Completion Tracking'!$G$3,"Subcategory ID",13.3,"Tier Name","Advanced")</f>
        <v>0</v>
      </c>
      <c r="I71" s="270">
        <f>(C71/D71)*D4</f>
        <v>50</v>
      </c>
      <c r="J71" s="270">
        <f>(E71/F71)*F4</f>
        <v>30</v>
      </c>
      <c r="K71" s="270">
        <v>0</v>
      </c>
      <c r="L71" s="270">
        <f t="shared" si="4"/>
        <v>80</v>
      </c>
      <c r="M71" s="270">
        <f t="shared" si="1"/>
        <v>20</v>
      </c>
      <c r="N71" s="272">
        <f t="shared" si="6"/>
        <v>0.2</v>
      </c>
      <c r="O71" s="270">
        <f>'CRF Risk View'!K16</f>
        <v>12</v>
      </c>
      <c r="P71" s="270">
        <f t="shared" si="2"/>
        <v>2.4000000000000004</v>
      </c>
      <c r="Q71" s="272">
        <f>N71*D8</f>
        <v>0.24</v>
      </c>
      <c r="R71" s="270">
        <f t="shared" si="3"/>
        <v>2.88</v>
      </c>
    </row>
    <row r="72" spans="1:18" x14ac:dyDescent="0.25">
      <c r="A72" s="239">
        <v>13.4</v>
      </c>
      <c r="B72" s="240" t="s">
        <v>1063</v>
      </c>
      <c r="C72" s="270">
        <f>GETPIVOTDATA("Status",'Completion Tracking'!$A$3,"Subcategory ID",13.4,"Tier Name","Baseline")</f>
        <v>1</v>
      </c>
      <c r="D72" s="270">
        <f>GETPIVOTDATA("Status",'Completion Tracking'!$G$3,"Subcategory ID",13.4,"Tier Name","Baseline")</f>
        <v>1</v>
      </c>
      <c r="E72" s="271">
        <f>GETPIVOTDATA("Status",'Completion Tracking'!$A$3,"Subcategory ID",13.4,"Tier Name","Target")</f>
        <v>3</v>
      </c>
      <c r="F72" s="271">
        <f>GETPIVOTDATA("Status",'Completion Tracking'!$G$3,"Subcategory ID",13.4,"Tier Name","Target")</f>
        <v>5</v>
      </c>
      <c r="G72" s="271">
        <f>GETPIVOTDATA("Status",'Completion Tracking'!$A$3,"Subcategory ID",13.4,"Tier Name","Advanced")</f>
        <v>2</v>
      </c>
      <c r="H72" s="271">
        <f>GETPIVOTDATA("Status",'Completion Tracking'!$G$3,"Subcategory ID",13.4,"Tier Name","Advanced")</f>
        <v>3</v>
      </c>
      <c r="I72" s="270">
        <f>(C72/D72)*D1</f>
        <v>40</v>
      </c>
      <c r="J72" s="270">
        <f>(E72/F72)*F1</f>
        <v>15</v>
      </c>
      <c r="K72" s="270">
        <f>(G72/H72)*H1</f>
        <v>10</v>
      </c>
      <c r="L72" s="270">
        <f t="shared" si="4"/>
        <v>65</v>
      </c>
      <c r="M72" s="270">
        <f t="shared" si="1"/>
        <v>35</v>
      </c>
      <c r="N72" s="272">
        <f t="shared" si="6"/>
        <v>0.35</v>
      </c>
      <c r="O72" s="270">
        <f>'CRF Risk View'!K16</f>
        <v>12</v>
      </c>
      <c r="P72" s="270">
        <f t="shared" si="2"/>
        <v>4.1999999999999993</v>
      </c>
      <c r="Q72" s="272">
        <f>N72*D8</f>
        <v>0.42</v>
      </c>
      <c r="R72" s="270">
        <f t="shared" si="3"/>
        <v>5.04</v>
      </c>
    </row>
    <row r="73" spans="1:18" x14ac:dyDescent="0.25">
      <c r="A73" s="239">
        <v>13.5</v>
      </c>
      <c r="B73" s="240" t="s">
        <v>1074</v>
      </c>
      <c r="C73" s="270">
        <f>GETPIVOTDATA("Status",'Completion Tracking'!$A$3,"Subcategory ID",13.5,"Tier Name","Baseline")</f>
        <v>0</v>
      </c>
      <c r="D73" s="270">
        <f>GETPIVOTDATA("Status",'Completion Tracking'!$G$3,"Subcategory ID",13.5,"Tier Name","Baseline")</f>
        <v>0</v>
      </c>
      <c r="E73" s="271">
        <f>GETPIVOTDATA("Status",'Completion Tracking'!$A$3,"Subcategory ID",13.5,"Tier Name","Target")</f>
        <v>2</v>
      </c>
      <c r="F73" s="271">
        <f>GETPIVOTDATA("Status",'Completion Tracking'!$G$3,"Subcategory ID",13.5,"Tier Name","Target")</f>
        <v>2</v>
      </c>
      <c r="G73" s="271">
        <f>GETPIVOTDATA("Status",'Completion Tracking'!$A$3,"Subcategory ID",13.5,"Tier Name","Advanced")</f>
        <v>0</v>
      </c>
      <c r="H73" s="271">
        <f>GETPIVOTDATA("Status",'Completion Tracking'!$G$3,"Subcategory ID",13.5,"Tier Name","Advanced")</f>
        <v>0</v>
      </c>
      <c r="I73" s="270">
        <v>0</v>
      </c>
      <c r="J73" s="270">
        <f>(E73/F73)*F5</f>
        <v>80</v>
      </c>
      <c r="K73" s="270">
        <v>0</v>
      </c>
      <c r="L73" s="270">
        <f t="shared" si="4"/>
        <v>80</v>
      </c>
      <c r="M73" s="270">
        <f t="shared" si="1"/>
        <v>20</v>
      </c>
      <c r="N73" s="272">
        <f t="shared" si="6"/>
        <v>0.2</v>
      </c>
      <c r="O73" s="270">
        <f>'CRF Risk View'!K16</f>
        <v>12</v>
      </c>
      <c r="P73" s="270">
        <f t="shared" si="2"/>
        <v>2.4000000000000004</v>
      </c>
      <c r="Q73" s="272">
        <f>N73*D8</f>
        <v>0.24</v>
      </c>
      <c r="R73" s="270">
        <f t="shared" si="3"/>
        <v>2.88</v>
      </c>
    </row>
    <row r="74" spans="1:18" x14ac:dyDescent="0.25">
      <c r="A74" s="239">
        <v>13.6</v>
      </c>
      <c r="B74" s="240" t="s">
        <v>1075</v>
      </c>
      <c r="C74" s="270">
        <f>GETPIVOTDATA("Status",'Completion Tracking'!$A$3,"Subcategory ID",13.6,"Tier Name","Baseline")</f>
        <v>1</v>
      </c>
      <c r="D74" s="270">
        <f>GETPIVOTDATA("Status",'Completion Tracking'!$G$3,"Subcategory ID",13.6,"Tier Name","Baseline")</f>
        <v>1</v>
      </c>
      <c r="E74" s="271">
        <f>GETPIVOTDATA("Status",'Completion Tracking'!$A$3,"Subcategory ID",13.6,"Tier Name","Target")</f>
        <v>2</v>
      </c>
      <c r="F74" s="271">
        <f>GETPIVOTDATA("Status",'Completion Tracking'!$G$3,"Subcategory ID",13.6,"Tier Name","Target")</f>
        <v>2</v>
      </c>
      <c r="G74" s="271">
        <f>GETPIVOTDATA("Status",'Completion Tracking'!$A$3,"Subcategory ID",13.6,"Tier Name","Advanced")</f>
        <v>1</v>
      </c>
      <c r="H74" s="271">
        <f>GETPIVOTDATA("Status",'Completion Tracking'!$G$3,"Subcategory ID",13.6,"Tier Name","Advanced")</f>
        <v>1</v>
      </c>
      <c r="I74" s="270">
        <f>(C74/D74)*D1</f>
        <v>40</v>
      </c>
      <c r="J74" s="270">
        <f>(E74/F74)*F1</f>
        <v>25</v>
      </c>
      <c r="K74" s="270">
        <f>(G74/H74)*H1</f>
        <v>15</v>
      </c>
      <c r="L74" s="270">
        <f t="shared" si="4"/>
        <v>80</v>
      </c>
      <c r="M74" s="270">
        <f t="shared" si="1"/>
        <v>20</v>
      </c>
      <c r="N74" s="272">
        <f t="shared" si="6"/>
        <v>0.2</v>
      </c>
      <c r="O74" s="270">
        <f>'CRF Risk View'!K16</f>
        <v>12</v>
      </c>
      <c r="P74" s="270">
        <f t="shared" si="2"/>
        <v>2.4000000000000004</v>
      </c>
      <c r="Q74" s="272">
        <f>N74*D8</f>
        <v>0.24</v>
      </c>
      <c r="R74" s="270">
        <f t="shared" si="3"/>
        <v>2.88</v>
      </c>
    </row>
    <row r="75" spans="1:18" x14ac:dyDescent="0.25">
      <c r="A75" s="239">
        <v>13.7</v>
      </c>
      <c r="B75" s="240" t="s">
        <v>1079</v>
      </c>
      <c r="C75" s="270">
        <f>GETPIVOTDATA("Status",'Completion Tracking'!$A$3,"Subcategory ID",13.7,"Tier Name","Baseline")</f>
        <v>1</v>
      </c>
      <c r="D75" s="270">
        <f>GETPIVOTDATA("Status",'Completion Tracking'!$G$3,"Subcategory ID",13.7,"Tier Name","Baseline")</f>
        <v>1</v>
      </c>
      <c r="E75" s="271">
        <f>GETPIVOTDATA("Status",'Completion Tracking'!$A$3,"Subcategory ID",13.7,"Tier Name","Target")</f>
        <v>0</v>
      </c>
      <c r="F75" s="271">
        <f>GETPIVOTDATA("Status",'Completion Tracking'!$G$3,"Subcategory ID",13.7,"Tier Name","Target")</f>
        <v>0</v>
      </c>
      <c r="G75" s="271">
        <f>GETPIVOTDATA("Status",'Completion Tracking'!$A$3,"Subcategory ID",13.7,"Tier Name","Advanced")</f>
        <v>0</v>
      </c>
      <c r="H75" s="271">
        <f>GETPIVOTDATA("Status",'Completion Tracking'!$G$3,"Subcategory ID",13.7,"Tier Name","Advanced")</f>
        <v>0</v>
      </c>
      <c r="I75" s="270">
        <f>(C75/D75)*D6</f>
        <v>80</v>
      </c>
      <c r="J75" s="271">
        <v>0</v>
      </c>
      <c r="K75" s="270">
        <v>0</v>
      </c>
      <c r="L75" s="270">
        <f t="shared" si="4"/>
        <v>80</v>
      </c>
      <c r="M75" s="270">
        <f t="shared" si="1"/>
        <v>20</v>
      </c>
      <c r="N75" s="272">
        <f t="shared" si="6"/>
        <v>0.2</v>
      </c>
      <c r="O75" s="270">
        <f>'CRF Risk View'!K16</f>
        <v>12</v>
      </c>
      <c r="P75" s="270">
        <f t="shared" si="2"/>
        <v>2.4000000000000004</v>
      </c>
      <c r="Q75" s="272">
        <f>N75*D8</f>
        <v>0.24</v>
      </c>
      <c r="R75" s="270">
        <f t="shared" si="3"/>
        <v>2.88</v>
      </c>
    </row>
    <row r="76" spans="1:18" x14ac:dyDescent="0.25">
      <c r="A76" s="239">
        <v>13.8</v>
      </c>
      <c r="B76" s="240" t="s">
        <v>1081</v>
      </c>
      <c r="C76" s="270">
        <f>GETPIVOTDATA("Status",'Completion Tracking'!$A$3,"Subcategory ID",13.8,"Tier Name","Baseline")</f>
        <v>0</v>
      </c>
      <c r="D76" s="270">
        <f>GETPIVOTDATA("Status",'Completion Tracking'!$G$3,"Subcategory ID",13.8,"Tier Name","Baseline")</f>
        <v>0</v>
      </c>
      <c r="E76" s="271">
        <f>GETPIVOTDATA("Status",'Completion Tracking'!$A$3,"Subcategory ID",13.8,"Tier Name","Target")</f>
        <v>3</v>
      </c>
      <c r="F76" s="271">
        <f>GETPIVOTDATA("Status",'Completion Tracking'!$G$3,"Subcategory ID",13.8,"Tier Name","Target")</f>
        <v>3</v>
      </c>
      <c r="G76" s="271">
        <f>GETPIVOTDATA("Status",'Completion Tracking'!$A$3,"Subcategory ID",13.8,"Tier Name","Advanced")</f>
        <v>0</v>
      </c>
      <c r="H76" s="271">
        <f>GETPIVOTDATA("Status",'Completion Tracking'!$G$3,"Subcategory ID",13.8,"Tier Name","Advanced")</f>
        <v>0</v>
      </c>
      <c r="I76" s="270">
        <v>0</v>
      </c>
      <c r="J76" s="270">
        <f>(E76/F76)*F5</f>
        <v>80</v>
      </c>
      <c r="K76" s="270">
        <v>0</v>
      </c>
      <c r="L76" s="270">
        <f t="shared" si="4"/>
        <v>80</v>
      </c>
      <c r="M76" s="270">
        <f t="shared" si="1"/>
        <v>20</v>
      </c>
      <c r="N76" s="272">
        <f t="shared" si="6"/>
        <v>0.2</v>
      </c>
      <c r="O76" s="270">
        <f>'CRF Risk View'!K16</f>
        <v>12</v>
      </c>
      <c r="P76" s="270">
        <f t="shared" si="2"/>
        <v>2.4000000000000004</v>
      </c>
      <c r="Q76" s="272">
        <f>N76*D8</f>
        <v>0.24</v>
      </c>
      <c r="R76" s="270">
        <f t="shared" si="3"/>
        <v>2.88</v>
      </c>
    </row>
    <row r="77" spans="1:18" x14ac:dyDescent="0.25">
      <c r="A77" s="239">
        <v>13.9</v>
      </c>
      <c r="B77" s="240" t="s">
        <v>1085</v>
      </c>
      <c r="C77" s="270">
        <f>GETPIVOTDATA("Status",'Completion Tracking'!$A$3,"Subcategory ID",13.9,"Tier Name","Baseline")</f>
        <v>0</v>
      </c>
      <c r="D77" s="270">
        <f>GETPIVOTDATA("Status",'Completion Tracking'!$G$3,"Subcategory ID",13.9,"Tier Name","Baseline")</f>
        <v>0</v>
      </c>
      <c r="E77" s="271">
        <f>GETPIVOTDATA("Status",'Completion Tracking'!$A$3,"Subcategory ID",13.9,"Tier Name","Target")</f>
        <v>0</v>
      </c>
      <c r="F77" s="271">
        <f>GETPIVOTDATA("Status",'Completion Tracking'!$G$3,"Subcategory ID",13.9,"Tier Name","Target")</f>
        <v>3</v>
      </c>
      <c r="G77" s="271">
        <f>GETPIVOTDATA("Status",'Completion Tracking'!$A$3,"Subcategory ID",13.9,"Tier Name","Advanced")</f>
        <v>0</v>
      </c>
      <c r="H77" s="271">
        <f>GETPIVOTDATA("Status",'Completion Tracking'!$G$3,"Subcategory ID",13.9,"Tier Name","Advanced")</f>
        <v>5</v>
      </c>
      <c r="I77" s="270">
        <v>0</v>
      </c>
      <c r="J77" s="270">
        <f>(E77/F77)*F2</f>
        <v>0</v>
      </c>
      <c r="K77" s="270">
        <f>(G77/H77)*H2</f>
        <v>0</v>
      </c>
      <c r="L77" s="270">
        <f t="shared" si="4"/>
        <v>0</v>
      </c>
      <c r="M77" s="270">
        <f t="shared" si="1"/>
        <v>100</v>
      </c>
      <c r="N77" s="272">
        <f t="shared" si="6"/>
        <v>1</v>
      </c>
      <c r="O77" s="270">
        <f>'CRF Risk View'!K16</f>
        <v>12</v>
      </c>
      <c r="P77" s="270">
        <f t="shared" si="2"/>
        <v>12</v>
      </c>
      <c r="Q77" s="272">
        <f>N77*D8</f>
        <v>1.2</v>
      </c>
      <c r="R77" s="270">
        <f t="shared" si="3"/>
        <v>14.399999999999999</v>
      </c>
    </row>
    <row r="78" spans="1:18" x14ac:dyDescent="0.25">
      <c r="A78" s="239" t="s">
        <v>1095</v>
      </c>
      <c r="B78" s="240" t="s">
        <v>1096</v>
      </c>
      <c r="C78" s="270">
        <f>GETPIVOTDATA("Status",'Completion Tracking'!$A$3,"Subcategory ID","13.10","Tier Name","Baseline")</f>
        <v>1</v>
      </c>
      <c r="D78" s="270">
        <f>GETPIVOTDATA("Status",'Completion Tracking'!$G$3,"Subcategory ID","13.10","Tier Name","Baseline")</f>
        <v>1</v>
      </c>
      <c r="E78" s="271">
        <f>GETPIVOTDATA("Status",'Completion Tracking'!$A$3,"Subcategory ID","13.10","Tier Name","Target")</f>
        <v>0</v>
      </c>
      <c r="F78" s="271">
        <f>GETPIVOTDATA("Status",'Completion Tracking'!$G$3,"Subcategory ID","13.10","Tier Name","Target")</f>
        <v>0</v>
      </c>
      <c r="G78" s="271">
        <f>GETPIVOTDATA("Status",'Completion Tracking'!$A$3,"Subcategory ID","13.10","Tier Name","Advanced")</f>
        <v>0</v>
      </c>
      <c r="H78" s="271">
        <f>GETPIVOTDATA("Status",'Completion Tracking'!$G$3,"Subcategory ID","13.10","Tier Name","Advanced")</f>
        <v>0</v>
      </c>
      <c r="I78" s="270">
        <f>(C78/D78)*D6</f>
        <v>80</v>
      </c>
      <c r="J78" s="271">
        <v>0</v>
      </c>
      <c r="K78" s="270">
        <v>0</v>
      </c>
      <c r="L78" s="270">
        <f t="shared" ref="L78:L104" si="22">I78+J78+K78</f>
        <v>80</v>
      </c>
      <c r="M78" s="270">
        <f t="shared" si="1"/>
        <v>20</v>
      </c>
      <c r="N78" s="272">
        <f t="shared" ref="N78:N104" si="23">M78/100</f>
        <v>0.2</v>
      </c>
      <c r="O78" s="270">
        <f>'CRF Risk View'!K16</f>
        <v>12</v>
      </c>
      <c r="P78" s="270">
        <f t="shared" si="2"/>
        <v>2.4000000000000004</v>
      </c>
      <c r="Q78" s="272">
        <f>N78*D8</f>
        <v>0.24</v>
      </c>
      <c r="R78" s="270">
        <f t="shared" si="3"/>
        <v>2.88</v>
      </c>
    </row>
    <row r="79" spans="1:18" x14ac:dyDescent="0.25">
      <c r="A79" s="264">
        <v>14</v>
      </c>
      <c r="B79" s="265" t="s">
        <v>1098</v>
      </c>
      <c r="C79" s="266">
        <f>SUM(C80:C89)</f>
        <v>8</v>
      </c>
      <c r="D79" s="266">
        <f t="shared" ref="D79:H79" si="24">SUM(D80:D89)</f>
        <v>8</v>
      </c>
      <c r="E79" s="266">
        <f t="shared" si="24"/>
        <v>12</v>
      </c>
      <c r="F79" s="266">
        <f t="shared" si="24"/>
        <v>21</v>
      </c>
      <c r="G79" s="266">
        <f t="shared" si="24"/>
        <v>3</v>
      </c>
      <c r="H79" s="266">
        <f t="shared" si="24"/>
        <v>11</v>
      </c>
      <c r="I79" s="266">
        <f>(C79/D79)*D1</f>
        <v>40</v>
      </c>
      <c r="J79" s="266">
        <f>(E79/F79)*F1</f>
        <v>14.285714285714285</v>
      </c>
      <c r="K79" s="266">
        <f>(G79/H79)*H1</f>
        <v>4.0909090909090908</v>
      </c>
      <c r="L79" s="266">
        <f t="shared" si="22"/>
        <v>58.376623376623378</v>
      </c>
      <c r="M79" s="266">
        <f t="shared" si="1"/>
        <v>41.623376623376622</v>
      </c>
      <c r="N79" s="267">
        <f t="shared" si="23"/>
        <v>0.41623376623376623</v>
      </c>
      <c r="O79" s="268">
        <f>SUM(O80:O89)/10</f>
        <v>16</v>
      </c>
      <c r="P79" s="266">
        <f t="shared" si="2"/>
        <v>6.6597402597402597</v>
      </c>
      <c r="Q79" s="267">
        <f>N79*D8</f>
        <v>0.49948051948051947</v>
      </c>
      <c r="R79" s="266">
        <f t="shared" si="3"/>
        <v>7.9916883116883115</v>
      </c>
    </row>
    <row r="80" spans="1:18" x14ac:dyDescent="0.25">
      <c r="A80" s="277">
        <v>14.1</v>
      </c>
      <c r="B80" s="240" t="s">
        <v>1100</v>
      </c>
      <c r="C80" s="270">
        <f>GETPIVOTDATA("Status",'Completion Tracking'!$A$3,"Subcategory ID","14.1","Tier Name","Baseline")</f>
        <v>1</v>
      </c>
      <c r="D80" s="270">
        <f>GETPIVOTDATA("Status",'Completion Tracking'!$G$3,"Subcategory ID","14.1","Tier Name","Baseline")</f>
        <v>1</v>
      </c>
      <c r="E80" s="271">
        <f>GETPIVOTDATA("Status",'Completion Tracking'!$A$3,"Subcategory ID","14.1","Tier Name","Target")</f>
        <v>4</v>
      </c>
      <c r="F80" s="271">
        <f>GETPIVOTDATA("Status",'Completion Tracking'!$G$3,"Subcategory ID","14.1","Tier Name","Target")</f>
        <v>4</v>
      </c>
      <c r="G80" s="271">
        <v>0</v>
      </c>
      <c r="H80" s="271">
        <v>0</v>
      </c>
      <c r="I80" s="270">
        <f>(C80/D80)*D4</f>
        <v>50</v>
      </c>
      <c r="J80" s="270">
        <f>(E80/F80)*F4</f>
        <v>30</v>
      </c>
      <c r="K80" s="270">
        <v>0</v>
      </c>
      <c r="L80" s="270">
        <f t="shared" si="22"/>
        <v>80</v>
      </c>
      <c r="M80" s="270">
        <f t="shared" si="1"/>
        <v>20</v>
      </c>
      <c r="N80" s="272">
        <f t="shared" si="23"/>
        <v>0.2</v>
      </c>
      <c r="O80" s="270">
        <f>'CRF Risk View'!K17</f>
        <v>16</v>
      </c>
      <c r="P80" s="270">
        <f t="shared" si="2"/>
        <v>3.2</v>
      </c>
      <c r="Q80" s="272">
        <f>N80*D8</f>
        <v>0.24</v>
      </c>
      <c r="R80" s="270">
        <f t="shared" si="3"/>
        <v>3.84</v>
      </c>
    </row>
    <row r="81" spans="1:18" x14ac:dyDescent="0.25">
      <c r="A81" s="277">
        <v>14.2</v>
      </c>
      <c r="B81" s="240" t="s">
        <v>1107</v>
      </c>
      <c r="C81" s="270">
        <f>GETPIVOTDATA("Status",'Completion Tracking'!$A$3,"Subcategory ID","14.2","Tier Name","Baseline")</f>
        <v>0</v>
      </c>
      <c r="D81" s="270">
        <f>GETPIVOTDATA("Status",'Completion Tracking'!$G$3,"Subcategory ID","14.2","Tier Name","Baseline")</f>
        <v>0</v>
      </c>
      <c r="E81" s="271">
        <f>GETPIVOTDATA("Status",'Completion Tracking'!$A$3,"Subcategory ID","14.2","Tier Name","Target")</f>
        <v>3</v>
      </c>
      <c r="F81" s="271">
        <f>GETPIVOTDATA("Status",'Completion Tracking'!$G$3,"Subcategory ID","14.2","Tier Name","Target")</f>
        <v>4</v>
      </c>
      <c r="G81" s="271">
        <v>1</v>
      </c>
      <c r="H81" s="271">
        <v>4</v>
      </c>
      <c r="I81" s="270">
        <v>0</v>
      </c>
      <c r="J81" s="270">
        <f>(E81/F81)*F2</f>
        <v>45</v>
      </c>
      <c r="K81" s="270">
        <f>(G81/H81)*H2</f>
        <v>5</v>
      </c>
      <c r="L81" s="270">
        <f t="shared" si="22"/>
        <v>50</v>
      </c>
      <c r="M81" s="270">
        <f t="shared" si="1"/>
        <v>50</v>
      </c>
      <c r="N81" s="272">
        <f t="shared" si="23"/>
        <v>0.5</v>
      </c>
      <c r="O81" s="270">
        <f>'CRF Risk View'!K17</f>
        <v>16</v>
      </c>
      <c r="P81" s="270">
        <f t="shared" si="2"/>
        <v>8</v>
      </c>
      <c r="Q81" s="272">
        <f>N81*D8</f>
        <v>0.6</v>
      </c>
      <c r="R81" s="270">
        <f t="shared" si="3"/>
        <v>9.6</v>
      </c>
    </row>
    <row r="82" spans="1:18" x14ac:dyDescent="0.25">
      <c r="A82" s="277">
        <v>14.3</v>
      </c>
      <c r="B82" s="240" t="s">
        <v>1118</v>
      </c>
      <c r="C82" s="270">
        <f>GETPIVOTDATA("Status",'Completion Tracking'!$A$3,"Subcategory ID","14.3","Tier Name","Baseline")</f>
        <v>0</v>
      </c>
      <c r="D82" s="270">
        <f>GETPIVOTDATA("Status",'Completion Tracking'!$G$3,"Subcategory ID","14.3","Tier Name","Baseline")</f>
        <v>0</v>
      </c>
      <c r="E82" s="271">
        <f>GETPIVOTDATA("Status",'Completion Tracking'!$A$3,"Subcategory ID","14.3","Tier Name","Target")</f>
        <v>1</v>
      </c>
      <c r="F82" s="271">
        <f>GETPIVOTDATA("Status",'Completion Tracking'!$G$3,"Subcategory ID","14.3","Tier Name","Target")</f>
        <v>2</v>
      </c>
      <c r="G82" s="271">
        <v>0</v>
      </c>
      <c r="H82" s="271">
        <v>0</v>
      </c>
      <c r="I82" s="270">
        <v>0</v>
      </c>
      <c r="J82" s="270">
        <f>(E82/F82)*F5</f>
        <v>40</v>
      </c>
      <c r="K82" s="270">
        <v>0</v>
      </c>
      <c r="L82" s="270">
        <f t="shared" si="22"/>
        <v>40</v>
      </c>
      <c r="M82" s="270">
        <f t="shared" si="1"/>
        <v>60</v>
      </c>
      <c r="N82" s="272">
        <f t="shared" si="23"/>
        <v>0.6</v>
      </c>
      <c r="O82" s="270">
        <f>'CRF Risk View'!K17</f>
        <v>16</v>
      </c>
      <c r="P82" s="270">
        <f t="shared" si="2"/>
        <v>9.6</v>
      </c>
      <c r="Q82" s="272">
        <f>N82*D8</f>
        <v>0.72</v>
      </c>
      <c r="R82" s="270">
        <f t="shared" si="3"/>
        <v>11.52</v>
      </c>
    </row>
    <row r="83" spans="1:18" x14ac:dyDescent="0.25">
      <c r="A83" s="277">
        <v>14.4</v>
      </c>
      <c r="B83" s="240" t="s">
        <v>1122</v>
      </c>
      <c r="C83" s="270">
        <f>GETPIVOTDATA("Status",'Completion Tracking'!$A$3,"Subcategory ID","14.4","Tier Name","Baseline")</f>
        <v>0</v>
      </c>
      <c r="D83" s="270">
        <f>GETPIVOTDATA("Status",'Completion Tracking'!$G$3,"Subcategory ID","14.4","Tier Name","Baseline")</f>
        <v>0</v>
      </c>
      <c r="E83" s="271">
        <f>GETPIVOTDATA("Status",'Completion Tracking'!$A$3,"Subcategory ID","14.4","Tier Name","Target")</f>
        <v>0</v>
      </c>
      <c r="F83" s="271">
        <f>GETPIVOTDATA("Status",'Completion Tracking'!$G$3,"Subcategory ID","14.4","Tier Name","Target")</f>
        <v>2</v>
      </c>
      <c r="G83" s="271">
        <v>1</v>
      </c>
      <c r="H83" s="271">
        <v>4</v>
      </c>
      <c r="I83" s="270">
        <v>0</v>
      </c>
      <c r="J83" s="270">
        <f>(E83/F83)*F2</f>
        <v>0</v>
      </c>
      <c r="K83" s="270">
        <f>(G83/H83)*H2</f>
        <v>5</v>
      </c>
      <c r="L83" s="270">
        <f t="shared" si="22"/>
        <v>5</v>
      </c>
      <c r="M83" s="270">
        <f t="shared" si="1"/>
        <v>95</v>
      </c>
      <c r="N83" s="272">
        <f t="shared" si="23"/>
        <v>0.95</v>
      </c>
      <c r="O83" s="270">
        <f>'CRF Risk View'!K17</f>
        <v>16</v>
      </c>
      <c r="P83" s="270">
        <f t="shared" si="2"/>
        <v>15.2</v>
      </c>
      <c r="Q83" s="272">
        <f>N83*D8</f>
        <v>1.1399999999999999</v>
      </c>
      <c r="R83" s="270">
        <f t="shared" si="3"/>
        <v>18.239999999999998</v>
      </c>
    </row>
    <row r="84" spans="1:18" x14ac:dyDescent="0.25">
      <c r="A84" s="277">
        <v>14.5</v>
      </c>
      <c r="B84" s="240" t="s">
        <v>1129</v>
      </c>
      <c r="C84" s="270">
        <f>GETPIVOTDATA("Status",'Completion Tracking'!$A$3,"Subcategory ID","14.5","Tier Name","Baseline")</f>
        <v>1</v>
      </c>
      <c r="D84" s="270">
        <f>GETPIVOTDATA("Status",'Completion Tracking'!$G$3,"Subcategory ID","14.5","Tier Name","Baseline")</f>
        <v>1</v>
      </c>
      <c r="E84" s="271">
        <f>GETPIVOTDATA("Status",'Completion Tracking'!$A$3,"Subcategory ID","14.5","Tier Name","Target")</f>
        <v>2</v>
      </c>
      <c r="F84" s="271">
        <f>GETPIVOTDATA("Status",'Completion Tracking'!$G$3,"Subcategory ID","14.5","Tier Name","Target")</f>
        <v>2</v>
      </c>
      <c r="G84" s="271">
        <v>0</v>
      </c>
      <c r="H84" s="271">
        <v>0</v>
      </c>
      <c r="I84" s="270">
        <f>(C84/D84)*D4</f>
        <v>50</v>
      </c>
      <c r="J84" s="270">
        <f>(E84/F84)*F4</f>
        <v>30</v>
      </c>
      <c r="K84" s="270">
        <v>0</v>
      </c>
      <c r="L84" s="270">
        <f t="shared" si="22"/>
        <v>80</v>
      </c>
      <c r="M84" s="270">
        <f t="shared" si="1"/>
        <v>20</v>
      </c>
      <c r="N84" s="272">
        <f t="shared" si="23"/>
        <v>0.2</v>
      </c>
      <c r="O84" s="270">
        <f>'CRF Risk View'!K17</f>
        <v>16</v>
      </c>
      <c r="P84" s="270">
        <f t="shared" si="2"/>
        <v>3.2</v>
      </c>
      <c r="Q84" s="272">
        <f>N84*D8</f>
        <v>0.24</v>
      </c>
      <c r="R84" s="270">
        <f t="shared" si="3"/>
        <v>3.84</v>
      </c>
    </row>
    <row r="85" spans="1:18" x14ac:dyDescent="0.25">
      <c r="A85" s="277">
        <v>14.6</v>
      </c>
      <c r="B85" s="240" t="s">
        <v>1135</v>
      </c>
      <c r="C85" s="270">
        <f>GETPIVOTDATA("Status",'Completion Tracking'!$A$3,"Subcategory ID","14.6","Tier Name","Baseline")</f>
        <v>6</v>
      </c>
      <c r="D85" s="270">
        <f>GETPIVOTDATA("Status",'Completion Tracking'!$G$3,"Subcategory ID","14.6","Tier Name","Baseline")</f>
        <v>6</v>
      </c>
      <c r="E85" s="271">
        <f>GETPIVOTDATA("Status",'Completion Tracking'!$A$3,"Subcategory ID","14.6","Tier Name","Advanced")</f>
        <v>1</v>
      </c>
      <c r="F85" s="271">
        <f>GETPIVOTDATA("Status",'Completion Tracking'!$G$3,"Subcategory ID","14.6","Tier Name","Target")</f>
        <v>1</v>
      </c>
      <c r="G85" s="271">
        <v>0</v>
      </c>
      <c r="H85" s="271">
        <v>1</v>
      </c>
      <c r="I85" s="270">
        <f>(C85/D85)*D1</f>
        <v>40</v>
      </c>
      <c r="J85" s="270">
        <f>(E85/F85)*F1</f>
        <v>25</v>
      </c>
      <c r="K85" s="270">
        <f>(G85/H85)*H1</f>
        <v>0</v>
      </c>
      <c r="L85" s="270">
        <f t="shared" si="22"/>
        <v>65</v>
      </c>
      <c r="M85" s="270">
        <f t="shared" si="1"/>
        <v>35</v>
      </c>
      <c r="N85" s="272">
        <f t="shared" si="23"/>
        <v>0.35</v>
      </c>
      <c r="O85" s="270">
        <f>'CRF Risk View'!K17</f>
        <v>16</v>
      </c>
      <c r="P85" s="270">
        <f t="shared" si="2"/>
        <v>5.6</v>
      </c>
      <c r="Q85" s="272">
        <f>N85*D8</f>
        <v>0.42</v>
      </c>
      <c r="R85" s="270">
        <f t="shared" si="3"/>
        <v>6.72</v>
      </c>
    </row>
    <row r="86" spans="1:18" x14ac:dyDescent="0.25">
      <c r="A86" s="277">
        <v>14.7</v>
      </c>
      <c r="B86" s="240" t="s">
        <v>1146</v>
      </c>
      <c r="C86" s="270">
        <f>GETPIVOTDATA("Status",'Completion Tracking'!$A$3,"Subcategory ID","14.7","Tier Name","Baseline")</f>
        <v>0</v>
      </c>
      <c r="D86" s="270">
        <f>GETPIVOTDATA("Status",'Completion Tracking'!$G$3,"Subcategory ID","14.7","Tier Name","Baseline")</f>
        <v>0</v>
      </c>
      <c r="E86" s="271">
        <f>GETPIVOTDATA("Status",'Completion Tracking'!$A$3,"Subcategory ID","14.7","Tier Name","Advanced")</f>
        <v>1</v>
      </c>
      <c r="F86" s="271">
        <f>GETPIVOTDATA("Status",'Completion Tracking'!$G$3,"Subcategory ID","14.7","Tier Name","Target")</f>
        <v>3</v>
      </c>
      <c r="G86" s="271">
        <v>0</v>
      </c>
      <c r="H86" s="271">
        <v>1</v>
      </c>
      <c r="I86" s="270">
        <v>0</v>
      </c>
      <c r="J86" s="270">
        <f>(E86/F86)*F2</f>
        <v>20</v>
      </c>
      <c r="K86" s="270">
        <f>(G86/H86)*H2</f>
        <v>0</v>
      </c>
      <c r="L86" s="270">
        <f t="shared" si="22"/>
        <v>20</v>
      </c>
      <c r="M86" s="270">
        <f t="shared" si="1"/>
        <v>80</v>
      </c>
      <c r="N86" s="272">
        <f t="shared" si="23"/>
        <v>0.8</v>
      </c>
      <c r="O86" s="270">
        <f>'CRF Risk View'!K17</f>
        <v>16</v>
      </c>
      <c r="P86" s="270">
        <f t="shared" si="2"/>
        <v>12.8</v>
      </c>
      <c r="Q86" s="272">
        <f>N86*D8</f>
        <v>0.96</v>
      </c>
      <c r="R86" s="270">
        <f t="shared" si="3"/>
        <v>15.36</v>
      </c>
    </row>
    <row r="87" spans="1:18" x14ac:dyDescent="0.25">
      <c r="A87" s="277">
        <v>14.8</v>
      </c>
      <c r="B87" s="240" t="s">
        <v>1151</v>
      </c>
      <c r="C87" s="270">
        <f>GETPIVOTDATA("Status",'Completion Tracking'!$A$3,"Subcategory ID","14.8","Tier Name","Baseline")</f>
        <v>0</v>
      </c>
      <c r="D87" s="270">
        <f>GETPIVOTDATA("Status",'Completion Tracking'!$G$3,"Subcategory ID","14.8","Tier Name","Baseline")</f>
        <v>0</v>
      </c>
      <c r="E87" s="271">
        <f>GETPIVOTDATA("Status",'Completion Tracking'!$A$3,"Subcategory ID","14.8","Tier Name","Advanced")</f>
        <v>0</v>
      </c>
      <c r="F87" s="271">
        <f>GETPIVOTDATA("Status",'Completion Tracking'!$G$3,"Subcategory ID","14.8","Tier Name","Target")</f>
        <v>1</v>
      </c>
      <c r="G87" s="271">
        <v>0</v>
      </c>
      <c r="H87" s="271">
        <v>0</v>
      </c>
      <c r="I87" s="270">
        <v>0</v>
      </c>
      <c r="J87" s="270">
        <f>(E87/F87)*F5</f>
        <v>0</v>
      </c>
      <c r="K87" s="270">
        <v>0</v>
      </c>
      <c r="L87" s="270">
        <f t="shared" si="22"/>
        <v>0</v>
      </c>
      <c r="M87" s="270">
        <f t="shared" si="1"/>
        <v>100</v>
      </c>
      <c r="N87" s="272">
        <f t="shared" si="23"/>
        <v>1</v>
      </c>
      <c r="O87" s="270">
        <f>'CRF Risk View'!K17</f>
        <v>16</v>
      </c>
      <c r="P87" s="270">
        <f t="shared" si="2"/>
        <v>16</v>
      </c>
      <c r="Q87" s="272">
        <f>N87*D8</f>
        <v>1.2</v>
      </c>
      <c r="R87" s="270">
        <f t="shared" si="3"/>
        <v>19.2</v>
      </c>
    </row>
    <row r="88" spans="1:18" x14ac:dyDescent="0.25">
      <c r="A88" s="277">
        <v>14.9</v>
      </c>
      <c r="B88" s="240" t="s">
        <v>1154</v>
      </c>
      <c r="C88" s="270">
        <f>GETPIVOTDATA("Status",'Completion Tracking'!$A$3,"Subcategory ID","14.9","Tier Name","Baseline")</f>
        <v>0</v>
      </c>
      <c r="D88" s="270">
        <f>GETPIVOTDATA("Status",'Completion Tracking'!$G$3,"Subcategory ID","14.9","Tier Name","Baseline")</f>
        <v>0</v>
      </c>
      <c r="E88" s="271">
        <f>GETPIVOTDATA("Status",'Completion Tracking'!$A$3,"Subcategory ID","14.9","Tier Name","Advanced")</f>
        <v>0</v>
      </c>
      <c r="F88" s="271">
        <f>GETPIVOTDATA("Status",'Completion Tracking'!$G$3,"Subcategory ID","14.9","Tier Name","Target")</f>
        <v>1</v>
      </c>
      <c r="G88" s="271">
        <v>0</v>
      </c>
      <c r="H88" s="271">
        <v>0</v>
      </c>
      <c r="I88" s="270">
        <v>0</v>
      </c>
      <c r="J88" s="270">
        <f>(E88/F88)*F5</f>
        <v>0</v>
      </c>
      <c r="K88" s="270">
        <v>0</v>
      </c>
      <c r="L88" s="270">
        <f t="shared" si="22"/>
        <v>0</v>
      </c>
      <c r="M88" s="270">
        <f t="shared" si="1"/>
        <v>100</v>
      </c>
      <c r="N88" s="272">
        <f t="shared" si="23"/>
        <v>1</v>
      </c>
      <c r="O88" s="270">
        <f>'CRF Risk View'!K17</f>
        <v>16</v>
      </c>
      <c r="P88" s="270">
        <f t="shared" si="2"/>
        <v>16</v>
      </c>
      <c r="Q88" s="272">
        <f>N88*D8</f>
        <v>1.2</v>
      </c>
      <c r="R88" s="270">
        <f t="shared" si="3"/>
        <v>19.2</v>
      </c>
    </row>
    <row r="89" spans="1:18" x14ac:dyDescent="0.25">
      <c r="A89" s="239" t="s">
        <v>1158</v>
      </c>
      <c r="B89" s="240" t="s">
        <v>1159</v>
      </c>
      <c r="C89" s="270">
        <f>GETPIVOTDATA("Status",'Completion Tracking'!$A$3,"Subcategory ID","14.10","Tier Name","Baseline")</f>
        <v>0</v>
      </c>
      <c r="D89" s="270">
        <f>GETPIVOTDATA("Status",'Completion Tracking'!$G$3,"Subcategory ID","14.10","Tier Name","Baseline")</f>
        <v>0</v>
      </c>
      <c r="E89" s="271">
        <f>GETPIVOTDATA("Status",'Completion Tracking'!$A$3,"Subcategory ID","14.1","Tier Name","Advanced")</f>
        <v>0</v>
      </c>
      <c r="F89" s="271">
        <f>GETPIVOTDATA("Status",'Completion Tracking'!$G$3,"Subcategory ID","14.10","Tier Name","Target")</f>
        <v>1</v>
      </c>
      <c r="G89" s="271">
        <v>1</v>
      </c>
      <c r="H89" s="271">
        <v>1</v>
      </c>
      <c r="I89" s="270">
        <v>0</v>
      </c>
      <c r="J89" s="270">
        <f>(E89/F89)*F1</f>
        <v>0</v>
      </c>
      <c r="K89" s="270">
        <f>(G89/H89)*H1</f>
        <v>15</v>
      </c>
      <c r="L89" s="270">
        <f t="shared" si="22"/>
        <v>15</v>
      </c>
      <c r="M89" s="270">
        <f>100-L89</f>
        <v>85</v>
      </c>
      <c r="N89" s="272">
        <f t="shared" si="23"/>
        <v>0.85</v>
      </c>
      <c r="O89" s="270">
        <f>'CRF Risk View'!K17</f>
        <v>16</v>
      </c>
      <c r="P89" s="270">
        <f t="shared" si="2"/>
        <v>13.6</v>
      </c>
      <c r="Q89" s="272">
        <f>N89*D8</f>
        <v>1.02</v>
      </c>
      <c r="R89" s="270">
        <f t="shared" si="3"/>
        <v>16.32</v>
      </c>
    </row>
    <row r="90" spans="1:18" x14ac:dyDescent="0.25">
      <c r="A90" s="264">
        <v>15</v>
      </c>
      <c r="B90" s="265" t="s">
        <v>1165</v>
      </c>
      <c r="C90" s="266">
        <f>SUM(C91:C92)</f>
        <v>0</v>
      </c>
      <c r="D90" s="266">
        <f t="shared" ref="D90:H90" si="25">SUM(D91:D92)</f>
        <v>0</v>
      </c>
      <c r="E90" s="266">
        <f t="shared" si="25"/>
        <v>3</v>
      </c>
      <c r="F90" s="266">
        <f t="shared" si="25"/>
        <v>9</v>
      </c>
      <c r="G90" s="266">
        <f t="shared" si="25"/>
        <v>2</v>
      </c>
      <c r="H90" s="266">
        <f t="shared" si="25"/>
        <v>10</v>
      </c>
      <c r="I90" s="266">
        <v>0</v>
      </c>
      <c r="J90" s="266">
        <f>(E90/F90)*F2</f>
        <v>20</v>
      </c>
      <c r="K90" s="266">
        <f>(G90/H90)*H2</f>
        <v>4</v>
      </c>
      <c r="L90" s="266">
        <f t="shared" si="22"/>
        <v>24</v>
      </c>
      <c r="M90" s="266">
        <f t="shared" si="1"/>
        <v>76</v>
      </c>
      <c r="N90" s="267">
        <f t="shared" si="23"/>
        <v>0.76</v>
      </c>
      <c r="O90" s="268">
        <f>SUM(O91:O92)/2</f>
        <v>20</v>
      </c>
      <c r="P90" s="266">
        <f t="shared" si="2"/>
        <v>15.2</v>
      </c>
      <c r="Q90" s="267">
        <f>N90*D8</f>
        <v>0.91199999999999992</v>
      </c>
      <c r="R90" s="266">
        <f t="shared" si="3"/>
        <v>18.239999999999998</v>
      </c>
    </row>
    <row r="91" spans="1:18" x14ac:dyDescent="0.25">
      <c r="A91" s="277">
        <v>15.1</v>
      </c>
      <c r="B91" s="240" t="s">
        <v>1167</v>
      </c>
      <c r="C91" s="270">
        <f>GETPIVOTDATA("Status",'Completion Tracking'!$A$3,"Subcategory ID","15.1","Tier Name","Baseline")</f>
        <v>0</v>
      </c>
      <c r="D91" s="270">
        <f>GETPIVOTDATA("Status",'Completion Tracking'!$G$3,"Subcategory ID","15.1","Tier Name","Baseline")</f>
        <v>0</v>
      </c>
      <c r="E91" s="271">
        <f>GETPIVOTDATA("Status",'Completion Tracking'!$A$3,"Subcategory ID","15.1","Tier Name","Target")</f>
        <v>0</v>
      </c>
      <c r="F91" s="271">
        <f>GETPIVOTDATA("Status",'Completion Tracking'!$G$3,"Subcategory ID","15.1","Tier Name","Target")</f>
        <v>1</v>
      </c>
      <c r="G91" s="271">
        <v>1</v>
      </c>
      <c r="H91" s="271">
        <v>7</v>
      </c>
      <c r="I91" s="270">
        <v>0</v>
      </c>
      <c r="J91" s="270">
        <f>(E91/F91)*F2</f>
        <v>0</v>
      </c>
      <c r="K91" s="270">
        <f>(G91/H91)*H2</f>
        <v>2.8571428571428568</v>
      </c>
      <c r="L91" s="270">
        <f t="shared" si="22"/>
        <v>2.8571428571428568</v>
      </c>
      <c r="M91" s="270">
        <f t="shared" si="1"/>
        <v>97.142857142857139</v>
      </c>
      <c r="N91" s="272">
        <f t="shared" si="23"/>
        <v>0.97142857142857142</v>
      </c>
      <c r="O91" s="270">
        <f>'CRF Risk View'!K18</f>
        <v>20</v>
      </c>
      <c r="P91" s="270">
        <f t="shared" si="2"/>
        <v>19.428571428571427</v>
      </c>
      <c r="Q91" s="272">
        <f>N91*D8</f>
        <v>1.1657142857142857</v>
      </c>
      <c r="R91" s="270">
        <f t="shared" si="3"/>
        <v>23.314285714285713</v>
      </c>
    </row>
    <row r="92" spans="1:18" x14ac:dyDescent="0.25">
      <c r="A92" s="277">
        <v>15.2</v>
      </c>
      <c r="B92" s="240" t="s">
        <v>1178</v>
      </c>
      <c r="C92" s="270">
        <f>GETPIVOTDATA("Status",'Completion Tracking'!$A$3,"Subcategory ID","15.2","Tier Name","Baseline")</f>
        <v>0</v>
      </c>
      <c r="D92" s="270">
        <f>GETPIVOTDATA("Status",'Completion Tracking'!$G$3,"Subcategory ID","15.2","Tier Name","Baseline")</f>
        <v>0</v>
      </c>
      <c r="E92" s="271">
        <f>GETPIVOTDATA("Status",'Completion Tracking'!$A$3,"Subcategory ID","15.2","Tier Name","Target")</f>
        <v>3</v>
      </c>
      <c r="F92" s="271">
        <f>GETPIVOTDATA("Status",'Completion Tracking'!$G$3,"Subcategory ID","15.2","Tier Name","Target")</f>
        <v>8</v>
      </c>
      <c r="G92" s="271">
        <v>1</v>
      </c>
      <c r="H92" s="271">
        <v>3</v>
      </c>
      <c r="I92" s="270">
        <v>0</v>
      </c>
      <c r="J92" s="270">
        <f>(E92/F92)*F2</f>
        <v>22.5</v>
      </c>
      <c r="K92" s="270">
        <f>(G92/H92)*H2</f>
        <v>6.6666666666666661</v>
      </c>
      <c r="L92" s="270">
        <f t="shared" si="22"/>
        <v>29.166666666666664</v>
      </c>
      <c r="M92" s="270">
        <f t="shared" si="1"/>
        <v>70.833333333333343</v>
      </c>
      <c r="N92" s="272">
        <f t="shared" si="23"/>
        <v>0.70833333333333348</v>
      </c>
      <c r="O92" s="270">
        <f>'CRF Risk View'!K18</f>
        <v>20</v>
      </c>
      <c r="P92" s="270">
        <f t="shared" si="2"/>
        <v>14.16666666666667</v>
      </c>
      <c r="Q92" s="272">
        <f>N92*D8</f>
        <v>0.8500000000000002</v>
      </c>
      <c r="R92" s="270">
        <f t="shared" si="3"/>
        <v>17.000000000000004</v>
      </c>
    </row>
    <row r="93" spans="1:18" x14ac:dyDescent="0.25">
      <c r="A93" s="264">
        <v>16</v>
      </c>
      <c r="B93" s="265" t="s">
        <v>463</v>
      </c>
      <c r="C93" s="266">
        <f>SUM(C94:C97)</f>
        <v>2</v>
      </c>
      <c r="D93" s="266">
        <f t="shared" ref="D93:H93" si="26">SUM(D94:D97)</f>
        <v>3</v>
      </c>
      <c r="E93" s="266">
        <f t="shared" si="26"/>
        <v>16</v>
      </c>
      <c r="F93" s="266">
        <f t="shared" si="26"/>
        <v>22</v>
      </c>
      <c r="G93" s="266">
        <f t="shared" si="26"/>
        <v>2</v>
      </c>
      <c r="H93" s="266">
        <f t="shared" si="26"/>
        <v>6</v>
      </c>
      <c r="I93" s="266">
        <f>(C93/D93)*D1</f>
        <v>26.666666666666664</v>
      </c>
      <c r="J93" s="266">
        <f>(E93/F93)*F1</f>
        <v>18.181818181818183</v>
      </c>
      <c r="K93" s="266">
        <f>(G93/H93)*H1</f>
        <v>5</v>
      </c>
      <c r="L93" s="266">
        <f t="shared" si="22"/>
        <v>49.848484848484844</v>
      </c>
      <c r="M93" s="266">
        <f t="shared" si="1"/>
        <v>50.151515151515156</v>
      </c>
      <c r="N93" s="267">
        <f t="shared" si="23"/>
        <v>0.50151515151515158</v>
      </c>
      <c r="O93" s="268">
        <f>SUM(O94:O97)/4</f>
        <v>16</v>
      </c>
      <c r="P93" s="266">
        <f t="shared" si="2"/>
        <v>8.0242424242424253</v>
      </c>
      <c r="Q93" s="267">
        <f>N93*D8</f>
        <v>0.60181818181818192</v>
      </c>
      <c r="R93" s="266">
        <f t="shared" si="3"/>
        <v>9.6290909090909107</v>
      </c>
    </row>
    <row r="94" spans="1:18" x14ac:dyDescent="0.25">
      <c r="A94" s="277">
        <v>16.100000000000001</v>
      </c>
      <c r="B94" s="240" t="s">
        <v>1192</v>
      </c>
      <c r="C94" s="270">
        <f>GETPIVOTDATA("Status",'Completion Tracking'!$A$3,"Subcategory ID","16.1","Tier Name","Baseline")</f>
        <v>1</v>
      </c>
      <c r="D94" s="270">
        <f>GETPIVOTDATA("Status",'Completion Tracking'!$G$3,"Subcategory ID","16.1","Tier Name","Baseline")</f>
        <v>1</v>
      </c>
      <c r="E94" s="271">
        <f>GETPIVOTDATA("Status",'Completion Tracking'!$A$3,"Subcategory ID","16.1","Tier Name","Target")</f>
        <v>7</v>
      </c>
      <c r="F94" s="271">
        <f>GETPIVOTDATA("Status",'Completion Tracking'!$G$3,"Subcategory ID","16.1","Tier Name","Target")</f>
        <v>8</v>
      </c>
      <c r="G94" s="271">
        <v>1</v>
      </c>
      <c r="H94" s="271">
        <v>3</v>
      </c>
      <c r="I94" s="270">
        <f>(C94/D94)*D1</f>
        <v>40</v>
      </c>
      <c r="J94" s="270">
        <f>(E94/F94)*F1</f>
        <v>21.875</v>
      </c>
      <c r="K94" s="270">
        <f>(G94/H94)*H1</f>
        <v>5</v>
      </c>
      <c r="L94" s="270">
        <f t="shared" si="22"/>
        <v>66.875</v>
      </c>
      <c r="M94" s="270">
        <f t="shared" si="1"/>
        <v>33.125</v>
      </c>
      <c r="N94" s="272">
        <f t="shared" si="23"/>
        <v>0.33124999999999999</v>
      </c>
      <c r="O94" s="270">
        <f>'CRF Risk View'!K19</f>
        <v>16</v>
      </c>
      <c r="P94" s="270">
        <f t="shared" si="2"/>
        <v>5.3</v>
      </c>
      <c r="Q94" s="272">
        <f>N94*D8</f>
        <v>0.39749999999999996</v>
      </c>
      <c r="R94" s="270">
        <f t="shared" si="3"/>
        <v>6.3599999999999994</v>
      </c>
    </row>
    <row r="95" spans="1:18" x14ac:dyDescent="0.25">
      <c r="A95" s="277">
        <v>16.2</v>
      </c>
      <c r="B95" s="240" t="s">
        <v>1207</v>
      </c>
      <c r="C95" s="270">
        <f>GETPIVOTDATA("Status",'Completion Tracking'!$A$3,"Subcategory ID","16.2","Tier Name","Baseline")</f>
        <v>1</v>
      </c>
      <c r="D95" s="270">
        <f>GETPIVOTDATA("Status",'Completion Tracking'!$G$3,"Subcategory ID","16.2","Tier Name","Baseline")</f>
        <v>1</v>
      </c>
      <c r="E95" s="271">
        <f>GETPIVOTDATA("Status",'Completion Tracking'!$A$3,"Subcategory ID","16.2","Tier Name","Target")</f>
        <v>4</v>
      </c>
      <c r="F95" s="271">
        <f>GETPIVOTDATA("Status",'Completion Tracking'!$G$3,"Subcategory ID","16.2","Tier Name","Target")</f>
        <v>4</v>
      </c>
      <c r="G95" s="271">
        <v>0</v>
      </c>
      <c r="H95" s="271">
        <v>0</v>
      </c>
      <c r="I95" s="270">
        <f>(C95/D95)*D4</f>
        <v>50</v>
      </c>
      <c r="J95" s="270">
        <f>(E95/F95)*F4</f>
        <v>30</v>
      </c>
      <c r="K95" s="270">
        <v>0</v>
      </c>
      <c r="L95" s="270">
        <f t="shared" si="22"/>
        <v>80</v>
      </c>
      <c r="M95" s="270">
        <f t="shared" si="1"/>
        <v>20</v>
      </c>
      <c r="N95" s="272">
        <f t="shared" si="23"/>
        <v>0.2</v>
      </c>
      <c r="O95" s="270">
        <f>'CRF Risk View'!K19</f>
        <v>16</v>
      </c>
      <c r="P95" s="270">
        <f t="shared" si="2"/>
        <v>3.2</v>
      </c>
      <c r="Q95" s="272">
        <f>N95*D8</f>
        <v>0.24</v>
      </c>
      <c r="R95" s="270">
        <f t="shared" si="3"/>
        <v>3.84</v>
      </c>
    </row>
    <row r="96" spans="1:18" x14ac:dyDescent="0.25">
      <c r="A96" s="277">
        <v>16.3</v>
      </c>
      <c r="B96" s="240" t="s">
        <v>1213</v>
      </c>
      <c r="C96" s="270">
        <f>GETPIVOTDATA("Status",'Completion Tracking'!$A$3,"Subcategory ID","16.3","Tier Name","Baseline")</f>
        <v>0</v>
      </c>
      <c r="D96" s="270">
        <f>GETPIVOTDATA("Status",'Completion Tracking'!$G$3,"Subcategory ID","16.3","Tier Name","Baseline")</f>
        <v>0</v>
      </c>
      <c r="E96" s="271">
        <f>GETPIVOTDATA("Status",'Completion Tracking'!$A$3,"Subcategory ID","16.3","Tier Name","Target")</f>
        <v>5</v>
      </c>
      <c r="F96" s="271">
        <f>GETPIVOTDATA("Status",'Completion Tracking'!$G$3,"Subcategory ID","16.3","Tier Name","Target")</f>
        <v>6</v>
      </c>
      <c r="G96" s="271">
        <v>0</v>
      </c>
      <c r="H96" s="271">
        <v>0</v>
      </c>
      <c r="I96" s="270">
        <v>0</v>
      </c>
      <c r="J96" s="270">
        <f>(E96/F96)*F5</f>
        <v>66.666666666666671</v>
      </c>
      <c r="K96" s="270">
        <v>0</v>
      </c>
      <c r="L96" s="270">
        <f t="shared" si="22"/>
        <v>66.666666666666671</v>
      </c>
      <c r="M96" s="270">
        <f t="shared" si="1"/>
        <v>33.333333333333329</v>
      </c>
      <c r="N96" s="272">
        <f t="shared" si="23"/>
        <v>0.33333333333333326</v>
      </c>
      <c r="O96" s="270">
        <f>'CRF Risk View'!K19</f>
        <v>16</v>
      </c>
      <c r="P96" s="270">
        <f t="shared" si="2"/>
        <v>5.3333333333333321</v>
      </c>
      <c r="Q96" s="272">
        <f>N96*D8</f>
        <v>0.39999999999999991</v>
      </c>
      <c r="R96" s="270">
        <f t="shared" si="3"/>
        <v>6.3999999999999986</v>
      </c>
    </row>
    <row r="97" spans="1:18" x14ac:dyDescent="0.25">
      <c r="A97" s="277">
        <v>16.399999999999999</v>
      </c>
      <c r="B97" s="240" t="s">
        <v>1221</v>
      </c>
      <c r="C97" s="270">
        <v>0</v>
      </c>
      <c r="D97" s="270">
        <f>GETPIVOTDATA("Status",'Completion Tracking'!$G$3,"Subcategory ID","16.4","Tier Name","Baseline")</f>
        <v>1</v>
      </c>
      <c r="E97" s="271">
        <v>0</v>
      </c>
      <c r="F97" s="271">
        <f>GETPIVOTDATA("Status",'Completion Tracking'!$G$3,"Subcategory ID","16.4","Tier Name","Target")</f>
        <v>4</v>
      </c>
      <c r="G97" s="271">
        <v>1</v>
      </c>
      <c r="H97" s="271">
        <v>3</v>
      </c>
      <c r="I97" s="270">
        <f>(C97/D97)*D1</f>
        <v>0</v>
      </c>
      <c r="J97" s="270">
        <f>(E97/F97)*F1</f>
        <v>0</v>
      </c>
      <c r="K97" s="270">
        <f>(G97/H97)*H1</f>
        <v>5</v>
      </c>
      <c r="L97" s="270">
        <f t="shared" si="22"/>
        <v>5</v>
      </c>
      <c r="M97" s="270">
        <f t="shared" si="1"/>
        <v>95</v>
      </c>
      <c r="N97" s="272">
        <f t="shared" si="23"/>
        <v>0.95</v>
      </c>
      <c r="O97" s="270">
        <f>'CRF Risk View'!K19</f>
        <v>16</v>
      </c>
      <c r="P97" s="270">
        <f t="shared" si="2"/>
        <v>15.2</v>
      </c>
      <c r="Q97" s="272">
        <f>N97*D8</f>
        <v>1.1399999999999999</v>
      </c>
      <c r="R97" s="270">
        <f t="shared" si="3"/>
        <v>18.239999999999998</v>
      </c>
    </row>
    <row r="98" spans="1:18" x14ac:dyDescent="0.25">
      <c r="A98" s="264">
        <v>17</v>
      </c>
      <c r="B98" s="265" t="s">
        <v>482</v>
      </c>
      <c r="C98" s="266">
        <f>SUM(C99:C104)</f>
        <v>0</v>
      </c>
      <c r="D98" s="266">
        <f t="shared" ref="D98:H98" si="27">SUM(D99:D104)</f>
        <v>0</v>
      </c>
      <c r="E98" s="266">
        <f t="shared" si="27"/>
        <v>8</v>
      </c>
      <c r="F98" s="266">
        <f t="shared" si="27"/>
        <v>10</v>
      </c>
      <c r="G98" s="266">
        <f t="shared" si="27"/>
        <v>6</v>
      </c>
      <c r="H98" s="266">
        <f t="shared" si="27"/>
        <v>25</v>
      </c>
      <c r="I98" s="266">
        <v>0</v>
      </c>
      <c r="J98" s="266">
        <f>(E98/F98)*F2</f>
        <v>48</v>
      </c>
      <c r="K98" s="266">
        <f>(G98/H98)*H2</f>
        <v>4.8</v>
      </c>
      <c r="L98" s="266">
        <f t="shared" si="22"/>
        <v>52.8</v>
      </c>
      <c r="M98" s="266">
        <f t="shared" si="1"/>
        <v>47.2</v>
      </c>
      <c r="N98" s="267">
        <f t="shared" si="23"/>
        <v>0.47200000000000003</v>
      </c>
      <c r="O98" s="268">
        <f>SUM(O99:O104)/6</f>
        <v>20</v>
      </c>
      <c r="P98" s="266">
        <f t="shared" si="2"/>
        <v>9.4400000000000013</v>
      </c>
      <c r="Q98" s="267">
        <f>N98*D8</f>
        <v>0.56640000000000001</v>
      </c>
      <c r="R98" s="266">
        <f t="shared" si="3"/>
        <v>11.327999999999999</v>
      </c>
    </row>
    <row r="99" spans="1:18" x14ac:dyDescent="0.25">
      <c r="A99" s="277">
        <v>17.100000000000001</v>
      </c>
      <c r="B99" s="240" t="s">
        <v>1230</v>
      </c>
      <c r="C99" s="270">
        <f>GETPIVOTDATA("Status",'Completion Tracking'!$A$3,"Subcategory ID","17.1","Tier Name","Baseline")</f>
        <v>0</v>
      </c>
      <c r="D99" s="270">
        <f>GETPIVOTDATA("Status",'Completion Tracking'!$G$3,"Subcategory ID","17.1","Tier Name","Baseline")</f>
        <v>0</v>
      </c>
      <c r="E99" s="271">
        <f>GETPIVOTDATA("Status",'Completion Tracking'!$A$3,"Subcategory ID","17.1","Tier Name","Target")</f>
        <v>1</v>
      </c>
      <c r="F99" s="271">
        <f>GETPIVOTDATA("Status",'Completion Tracking'!$G$3,"Subcategory ID","17.1","Tier Name","Target")</f>
        <v>1</v>
      </c>
      <c r="G99" s="271">
        <f>GETPIVOTDATA("Status",'Completion Tracking'!$A$3,"Subcategory ID","17.1","Tier Name","Advanced")</f>
        <v>1</v>
      </c>
      <c r="H99" s="271">
        <f>GETPIVOTDATA("Status",'Completion Tracking'!$G$3,"Subcategory ID","17.1","Tier Name","Advanced")</f>
        <v>1</v>
      </c>
      <c r="I99" s="270">
        <v>0</v>
      </c>
      <c r="J99" s="270">
        <f>(E99/F99)*F2</f>
        <v>60</v>
      </c>
      <c r="K99" s="270">
        <f>(G99/H99)*H2</f>
        <v>20</v>
      </c>
      <c r="L99" s="270">
        <f t="shared" si="22"/>
        <v>80</v>
      </c>
      <c r="M99" s="270">
        <f t="shared" ref="M99:M104" si="28">100-L99</f>
        <v>20</v>
      </c>
      <c r="N99" s="272">
        <f t="shared" si="23"/>
        <v>0.2</v>
      </c>
      <c r="O99" s="270">
        <f>'CRF Risk View'!K20</f>
        <v>20</v>
      </c>
      <c r="P99" s="270">
        <f t="shared" ref="P99:P104" si="29">O99*N99</f>
        <v>4</v>
      </c>
      <c r="Q99" s="272">
        <f>N99*D8</f>
        <v>0.24</v>
      </c>
      <c r="R99" s="270">
        <f t="shared" si="3"/>
        <v>4.8</v>
      </c>
    </row>
    <row r="100" spans="1:18" x14ac:dyDescent="0.25">
      <c r="A100" s="277">
        <v>17.2</v>
      </c>
      <c r="B100" s="240" t="s">
        <v>1234</v>
      </c>
      <c r="C100" s="270">
        <f>GETPIVOTDATA("Status",'Completion Tracking'!$A$3,"Subcategory ID","17.2","Tier Name","Baseline")</f>
        <v>0</v>
      </c>
      <c r="D100" s="270">
        <f>GETPIVOTDATA("Status",'Completion Tracking'!$G$3,"Subcategory ID","17.2","Tier Name","Baseline")</f>
        <v>0</v>
      </c>
      <c r="E100" s="271">
        <f>GETPIVOTDATA("Status",'Completion Tracking'!$A$3,"Subcategory ID","17.2","Tier Name","Target")</f>
        <v>3</v>
      </c>
      <c r="F100" s="271">
        <f>GETPIVOTDATA("Status",'Completion Tracking'!$G$3,"Subcategory ID","17.2","Tier Name","Target")</f>
        <v>3</v>
      </c>
      <c r="G100" s="271">
        <f>GETPIVOTDATA("Status",'Completion Tracking'!$A$3,"Subcategory ID","17.2","Tier Name","Advanced")</f>
        <v>3</v>
      </c>
      <c r="H100" s="271">
        <f>GETPIVOTDATA("Status",'Completion Tracking'!$G$3,"Subcategory ID","17.2","Tier Name","Advanced")</f>
        <v>3</v>
      </c>
      <c r="I100" s="270">
        <v>0</v>
      </c>
      <c r="J100" s="270">
        <f>(E100/F100)*F2</f>
        <v>60</v>
      </c>
      <c r="K100" s="270">
        <f>(G100/H100)*H2</f>
        <v>20</v>
      </c>
      <c r="L100" s="270">
        <f t="shared" si="22"/>
        <v>80</v>
      </c>
      <c r="M100" s="270">
        <f t="shared" si="28"/>
        <v>20</v>
      </c>
      <c r="N100" s="272">
        <f t="shared" si="23"/>
        <v>0.2</v>
      </c>
      <c r="O100" s="270">
        <f>'CRF Risk View'!K20</f>
        <v>20</v>
      </c>
      <c r="P100" s="270">
        <f t="shared" si="29"/>
        <v>4</v>
      </c>
      <c r="Q100" s="272">
        <f>N100*D8</f>
        <v>0.24</v>
      </c>
      <c r="R100" s="270">
        <f t="shared" ref="R100:R104" si="30">O100*Q100</f>
        <v>4.8</v>
      </c>
    </row>
    <row r="101" spans="1:18" x14ac:dyDescent="0.25">
      <c r="A101" s="277">
        <v>17.3</v>
      </c>
      <c r="B101" s="240" t="s">
        <v>1242</v>
      </c>
      <c r="C101" s="270">
        <f>GETPIVOTDATA("Status",'Completion Tracking'!$A$3,"Subcategory ID","17.3","Tier Name","Baseline")</f>
        <v>0</v>
      </c>
      <c r="D101" s="270">
        <f>GETPIVOTDATA("Status",'Completion Tracking'!$G$3,"Subcategory ID","17.3","Tier Name","Baseline")</f>
        <v>0</v>
      </c>
      <c r="E101" s="271">
        <f>GETPIVOTDATA("Status",'Completion Tracking'!$A$3,"Subcategory ID","17.3","Tier Name","Target")</f>
        <v>2</v>
      </c>
      <c r="F101" s="271">
        <f>GETPIVOTDATA("Status",'Completion Tracking'!$G$3,"Subcategory ID","17.3","Tier Name","Target")</f>
        <v>2</v>
      </c>
      <c r="G101" s="271">
        <f>GETPIVOTDATA("Status",'Completion Tracking'!$A$3,"Subcategory ID","17.3","Tier Name","Advanced")</f>
        <v>1</v>
      </c>
      <c r="H101" s="271">
        <f>GETPIVOTDATA("Status",'Completion Tracking'!$G$3,"Subcategory ID","17.3","Tier Name","Advanced")</f>
        <v>6</v>
      </c>
      <c r="I101" s="270">
        <v>0</v>
      </c>
      <c r="J101" s="270">
        <f>(E101/F101)*F2</f>
        <v>60</v>
      </c>
      <c r="K101" s="270">
        <f>(G101/H101)*H2</f>
        <v>3.333333333333333</v>
      </c>
      <c r="L101" s="270">
        <f t="shared" si="22"/>
        <v>63.333333333333336</v>
      </c>
      <c r="M101" s="270">
        <f t="shared" si="28"/>
        <v>36.666666666666664</v>
      </c>
      <c r="N101" s="272">
        <f t="shared" si="23"/>
        <v>0.36666666666666664</v>
      </c>
      <c r="O101" s="270">
        <f>'CRF Risk View'!K20</f>
        <v>20</v>
      </c>
      <c r="P101" s="270">
        <f t="shared" si="29"/>
        <v>7.333333333333333</v>
      </c>
      <c r="Q101" s="272">
        <f>N101*D8</f>
        <v>0.43999999999999995</v>
      </c>
      <c r="R101" s="270">
        <f t="shared" si="30"/>
        <v>8.7999999999999989</v>
      </c>
    </row>
    <row r="102" spans="1:18" x14ac:dyDescent="0.25">
      <c r="A102" s="277">
        <v>17.399999999999999</v>
      </c>
      <c r="B102" s="240" t="s">
        <v>1252</v>
      </c>
      <c r="C102" s="270">
        <f>GETPIVOTDATA("Status",'Completion Tracking'!$A$3,"Subcategory ID","17.4","Tier Name","Baseline")</f>
        <v>0</v>
      </c>
      <c r="D102" s="270">
        <f>GETPIVOTDATA("Status",'Completion Tracking'!$G$3,"Subcategory ID","17.4","Tier Name","Baseline")</f>
        <v>0</v>
      </c>
      <c r="E102" s="271">
        <f>GETPIVOTDATA("Status",'Completion Tracking'!$A$3,"Subcategory ID","17.4","Tier Name","Target")</f>
        <v>2</v>
      </c>
      <c r="F102" s="271">
        <f>GETPIVOTDATA("Status",'Completion Tracking'!$G$3,"Subcategory ID","17.4","Tier Name","Target")</f>
        <v>2</v>
      </c>
      <c r="G102" s="271">
        <f>GETPIVOTDATA("Status",'Completion Tracking'!$A$3,"Subcategory ID","17.4","Tier Name","Advanced")</f>
        <v>1</v>
      </c>
      <c r="H102" s="271">
        <f>GETPIVOTDATA("Status",'Completion Tracking'!$G$3,"Subcategory ID","17.4","Tier Name","Advanced")</f>
        <v>6</v>
      </c>
      <c r="I102" s="270">
        <v>0</v>
      </c>
      <c r="J102" s="270">
        <f>(E102/F102)*F2</f>
        <v>60</v>
      </c>
      <c r="K102" s="270">
        <f>(G102/H102)*H2</f>
        <v>3.333333333333333</v>
      </c>
      <c r="L102" s="270">
        <f t="shared" si="22"/>
        <v>63.333333333333336</v>
      </c>
      <c r="M102" s="270">
        <f t="shared" si="28"/>
        <v>36.666666666666664</v>
      </c>
      <c r="N102" s="272">
        <f t="shared" si="23"/>
        <v>0.36666666666666664</v>
      </c>
      <c r="O102" s="270">
        <f>'CRF Risk View'!K20</f>
        <v>20</v>
      </c>
      <c r="P102" s="270">
        <f t="shared" si="29"/>
        <v>7.333333333333333</v>
      </c>
      <c r="Q102" s="272">
        <f>N102*D8</f>
        <v>0.43999999999999995</v>
      </c>
      <c r="R102" s="270">
        <f t="shared" si="30"/>
        <v>8.7999999999999989</v>
      </c>
    </row>
    <row r="103" spans="1:18" x14ac:dyDescent="0.25">
      <c r="A103" s="277">
        <v>17.5</v>
      </c>
      <c r="B103" s="240" t="s">
        <v>1262</v>
      </c>
      <c r="C103" s="270">
        <v>0</v>
      </c>
      <c r="D103" s="270">
        <f>GETPIVOTDATA("Status",'Completion Tracking'!$G$3,"Subcategory ID","17.5","Tier Name","Baseline")</f>
        <v>0</v>
      </c>
      <c r="E103" s="271">
        <v>0</v>
      </c>
      <c r="F103" s="271">
        <f>GETPIVOTDATA("Status",'Completion Tracking'!$G$3,"Subcategory ID","17.5","Tier Name","Target")</f>
        <v>1</v>
      </c>
      <c r="G103" s="271">
        <v>0</v>
      </c>
      <c r="H103" s="271">
        <f>GETPIVOTDATA("Status",'Completion Tracking'!$G$3,"Subcategory ID","17.5","Tier Name","Advanced")</f>
        <v>2</v>
      </c>
      <c r="I103" s="270">
        <v>0</v>
      </c>
      <c r="J103" s="270">
        <f>(E103/F103)*F2</f>
        <v>0</v>
      </c>
      <c r="K103" s="270">
        <f>(G103/H103)*H2</f>
        <v>0</v>
      </c>
      <c r="L103" s="270">
        <f t="shared" si="22"/>
        <v>0</v>
      </c>
      <c r="M103" s="270">
        <f t="shared" si="28"/>
        <v>100</v>
      </c>
      <c r="N103" s="272">
        <f t="shared" si="23"/>
        <v>1</v>
      </c>
      <c r="O103" s="270">
        <f>'CRF Risk View'!K20</f>
        <v>20</v>
      </c>
      <c r="P103" s="270">
        <f t="shared" si="29"/>
        <v>20</v>
      </c>
      <c r="Q103" s="272">
        <f>N103*D8</f>
        <v>1.2</v>
      </c>
      <c r="R103" s="270">
        <f t="shared" si="30"/>
        <v>24</v>
      </c>
    </row>
    <row r="104" spans="1:18" x14ac:dyDescent="0.25">
      <c r="A104" s="277">
        <v>17.600000000000001</v>
      </c>
      <c r="B104" s="240" t="s">
        <v>1267</v>
      </c>
      <c r="C104" s="270">
        <f>GETPIVOTDATA("Status",'Completion Tracking'!$A$3,"Subcategory ID","17.6","Tier Name","Baseline")</f>
        <v>0</v>
      </c>
      <c r="D104" s="270">
        <f>GETPIVOTDATA("Status",'Completion Tracking'!$G$3,"Subcategory ID","17.6","Tier Name","Baseline")</f>
        <v>0</v>
      </c>
      <c r="E104" s="271">
        <f>GETPIVOTDATA("Status",'Completion Tracking'!$A$3,"Subcategory ID","17.6","Tier Name","Baseline")</f>
        <v>0</v>
      </c>
      <c r="F104" s="271">
        <f>GETPIVOTDATA("Status",'Completion Tracking'!$G$3,"Subcategory ID","17.6","Tier Name","Target")</f>
        <v>1</v>
      </c>
      <c r="G104" s="271">
        <f>GETPIVOTDATA("Status",'Completion Tracking'!$A$3,"Subcategory ID","17.6","Tier Name","Advanced")</f>
        <v>0</v>
      </c>
      <c r="H104" s="271">
        <f>GETPIVOTDATA("Status",'Completion Tracking'!$G$3,"Subcategory ID","17.6","Tier Name","Advanced")</f>
        <v>7</v>
      </c>
      <c r="I104" s="270">
        <v>0</v>
      </c>
      <c r="J104" s="270">
        <f>(E104/F104)*F2</f>
        <v>0</v>
      </c>
      <c r="K104" s="270">
        <f>(G104/H104)*H2</f>
        <v>0</v>
      </c>
      <c r="L104" s="270">
        <f t="shared" si="22"/>
        <v>0</v>
      </c>
      <c r="M104" s="270">
        <f t="shared" si="28"/>
        <v>100</v>
      </c>
      <c r="N104" s="272">
        <f t="shared" si="23"/>
        <v>1</v>
      </c>
      <c r="O104" s="270">
        <f>'CRF Risk View'!K20</f>
        <v>20</v>
      </c>
      <c r="P104" s="270">
        <f t="shared" si="29"/>
        <v>20</v>
      </c>
      <c r="Q104" s="272">
        <f>N104*D8</f>
        <v>1.2</v>
      </c>
      <c r="R104" s="270">
        <f t="shared" si="30"/>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0318-51D0-4069-AD63-77B4A121B9C7}">
  <dimension ref="A1:T35"/>
  <sheetViews>
    <sheetView zoomScale="70" zoomScaleNormal="70" workbookViewId="0">
      <selection activeCell="K9" sqref="K9"/>
    </sheetView>
  </sheetViews>
  <sheetFormatPr defaultColWidth="8.25" defaultRowHeight="15" x14ac:dyDescent="0.2"/>
  <cols>
    <col min="1" max="1" width="8.25" style="280"/>
    <col min="2" max="2" width="12.5" style="280" customWidth="1"/>
    <col min="3" max="3" width="15.125" style="280" customWidth="1"/>
    <col min="4" max="4" width="66.625" style="280" customWidth="1"/>
    <col min="5" max="5" width="67.875" style="280" customWidth="1"/>
    <col min="6" max="6" width="20.75" style="280" customWidth="1"/>
    <col min="7" max="7" width="28.75" style="280" customWidth="1"/>
    <col min="8" max="10" width="16.125" style="280" customWidth="1"/>
    <col min="11" max="11" width="13.375" style="280" customWidth="1"/>
    <col min="12" max="12" width="12.25" style="280" customWidth="1"/>
    <col min="13" max="13" width="43.25" style="319" customWidth="1"/>
    <col min="14" max="14" width="18.75" style="321" customWidth="1"/>
    <col min="15" max="15" width="12.75" style="321" customWidth="1"/>
    <col min="16" max="16" width="34.75" style="280" customWidth="1"/>
    <col min="17" max="17" width="30.875" style="319" customWidth="1"/>
    <col min="18" max="18" width="27.25" style="319" customWidth="1"/>
    <col min="19" max="19" width="14.375" style="280" bestFit="1" customWidth="1"/>
    <col min="20" max="20" width="13.625" style="280" customWidth="1"/>
    <col min="21" max="16384" width="8.25" style="280"/>
  </cols>
  <sheetData>
    <row r="1" spans="1:20" ht="36.75" thickBot="1" x14ac:dyDescent="0.25">
      <c r="A1" s="278"/>
      <c r="B1" s="279"/>
      <c r="C1" s="446" t="s">
        <v>1707</v>
      </c>
      <c r="D1" s="446"/>
      <c r="E1" s="446"/>
      <c r="F1" s="446"/>
      <c r="G1" s="446"/>
      <c r="H1" s="446"/>
      <c r="I1" s="446"/>
      <c r="J1" s="446"/>
      <c r="K1" s="446"/>
      <c r="L1" s="446"/>
      <c r="M1" s="446"/>
      <c r="N1" s="446"/>
      <c r="O1" s="446"/>
      <c r="P1" s="446"/>
      <c r="Q1" s="446"/>
      <c r="R1" s="446"/>
      <c r="S1" s="446"/>
      <c r="T1" s="447"/>
    </row>
    <row r="2" spans="1:20" s="290" customFormat="1" ht="39.6" customHeight="1" thickBot="1" x14ac:dyDescent="0.25">
      <c r="A2" s="281"/>
      <c r="B2" s="282"/>
      <c r="C2" s="283"/>
      <c r="D2" s="283"/>
      <c r="E2" s="284" t="s">
        <v>1605</v>
      </c>
      <c r="F2" s="284" t="s">
        <v>1606</v>
      </c>
      <c r="G2" s="285">
        <f>AVERAGE(N4:N20)</f>
        <v>7.5337426495907422</v>
      </c>
      <c r="H2" s="283"/>
      <c r="I2" s="448" t="s">
        <v>1615</v>
      </c>
      <c r="J2" s="449"/>
      <c r="K2" s="450"/>
      <c r="L2" s="286"/>
      <c r="M2" s="287"/>
      <c r="N2" s="341" t="s">
        <v>1777</v>
      </c>
      <c r="O2" s="288" t="s">
        <v>1607</v>
      </c>
      <c r="P2" s="283"/>
      <c r="Q2" s="287"/>
      <c r="R2" s="287"/>
      <c r="S2" s="283"/>
      <c r="T2" s="289"/>
    </row>
    <row r="3" spans="1:20" s="290" customFormat="1" ht="30" x14ac:dyDescent="0.2">
      <c r="A3" s="291" t="s">
        <v>1608</v>
      </c>
      <c r="B3" s="292" t="s">
        <v>1609</v>
      </c>
      <c r="C3" s="293" t="s">
        <v>1610</v>
      </c>
      <c r="D3" s="293" t="s">
        <v>1611</v>
      </c>
      <c r="E3" s="293" t="s">
        <v>1612</v>
      </c>
      <c r="F3" s="293" t="s">
        <v>1613</v>
      </c>
      <c r="G3" s="293" t="s">
        <v>1614</v>
      </c>
      <c r="H3" s="293" t="s">
        <v>730</v>
      </c>
      <c r="I3" s="294" t="s">
        <v>1708</v>
      </c>
      <c r="J3" s="294" t="s">
        <v>1709</v>
      </c>
      <c r="K3" s="294" t="s">
        <v>1710</v>
      </c>
      <c r="L3" s="294" t="s">
        <v>1616</v>
      </c>
      <c r="M3" s="293" t="s">
        <v>1617</v>
      </c>
      <c r="N3" s="295"/>
      <c r="O3" s="295" t="s">
        <v>1619</v>
      </c>
      <c r="P3" s="296" t="s">
        <v>1620</v>
      </c>
      <c r="Q3" s="296" t="s">
        <v>1621</v>
      </c>
      <c r="R3" s="296" t="s">
        <v>16</v>
      </c>
      <c r="S3" s="293" t="s">
        <v>1622</v>
      </c>
      <c r="T3" s="297" t="s">
        <v>1623</v>
      </c>
    </row>
    <row r="4" spans="1:20" s="1" customFormat="1" ht="86.45" customHeight="1" x14ac:dyDescent="0.2">
      <c r="A4" s="298" t="s">
        <v>1624</v>
      </c>
      <c r="B4" s="299" t="s">
        <v>1625</v>
      </c>
      <c r="C4" s="144" t="s">
        <v>734</v>
      </c>
      <c r="D4" s="144" t="s">
        <v>1626</v>
      </c>
      <c r="E4" s="149" t="s">
        <v>1627</v>
      </c>
      <c r="F4" s="300" t="s">
        <v>1628</v>
      </c>
      <c r="G4" s="301">
        <v>44222</v>
      </c>
      <c r="H4" s="149" t="s">
        <v>730</v>
      </c>
      <c r="I4" s="149">
        <v>5</v>
      </c>
      <c r="J4" s="149">
        <v>5</v>
      </c>
      <c r="K4" s="149">
        <f t="shared" ref="K4:K20" si="0">I4*J4</f>
        <v>25</v>
      </c>
      <c r="L4" s="302">
        <f>G2</f>
        <v>7.5337426495907422</v>
      </c>
      <c r="M4" s="149" t="s">
        <v>1629</v>
      </c>
      <c r="N4" s="323">
        <f>'Sub Risk Calc'!P12</f>
        <v>8.7065972222222214</v>
      </c>
      <c r="O4" s="149">
        <v>5</v>
      </c>
      <c r="P4" s="144" t="s">
        <v>1630</v>
      </c>
      <c r="Q4" s="303"/>
      <c r="R4" s="304"/>
      <c r="S4" s="305" t="s">
        <v>30</v>
      </c>
      <c r="T4" s="306" t="s">
        <v>1631</v>
      </c>
    </row>
    <row r="5" spans="1:20" s="1" customFormat="1" ht="72" customHeight="1" x14ac:dyDescent="0.2">
      <c r="A5" s="307" t="s">
        <v>1632</v>
      </c>
      <c r="B5" s="308" t="s">
        <v>1625</v>
      </c>
      <c r="C5" s="144" t="s">
        <v>773</v>
      </c>
      <c r="D5" s="309" t="s">
        <v>1633</v>
      </c>
      <c r="E5" s="149" t="s">
        <v>1634</v>
      </c>
      <c r="F5" s="300" t="s">
        <v>1628</v>
      </c>
      <c r="G5" s="301">
        <v>44222</v>
      </c>
      <c r="H5" s="149" t="s">
        <v>730</v>
      </c>
      <c r="I5" s="322">
        <v>5</v>
      </c>
      <c r="J5" s="322">
        <v>5</v>
      </c>
      <c r="K5" s="322">
        <f t="shared" si="0"/>
        <v>25</v>
      </c>
      <c r="L5" s="302">
        <f>G2</f>
        <v>7.5337426495907422</v>
      </c>
      <c r="M5" s="310" t="s">
        <v>1635</v>
      </c>
      <c r="N5" s="324">
        <f>'Sub Risk Calc'!P18</f>
        <v>5.5357142857142847</v>
      </c>
      <c r="O5" s="311">
        <v>5</v>
      </c>
      <c r="P5" s="144" t="s">
        <v>1636</v>
      </c>
      <c r="Q5" s="312"/>
      <c r="R5" s="313"/>
      <c r="S5" s="314" t="s">
        <v>30</v>
      </c>
      <c r="T5" s="306" t="s">
        <v>1631</v>
      </c>
    </row>
    <row r="6" spans="1:20" s="1" customFormat="1" ht="75" x14ac:dyDescent="0.2">
      <c r="A6" s="298" t="s">
        <v>1637</v>
      </c>
      <c r="B6" s="299" t="s">
        <v>1625</v>
      </c>
      <c r="C6" s="144" t="s">
        <v>809</v>
      </c>
      <c r="D6" s="144" t="s">
        <v>1638</v>
      </c>
      <c r="E6" s="149" t="s">
        <v>1639</v>
      </c>
      <c r="F6" s="300" t="s">
        <v>1640</v>
      </c>
      <c r="G6" s="301">
        <v>44222</v>
      </c>
      <c r="H6" s="149" t="s">
        <v>730</v>
      </c>
      <c r="I6" s="149">
        <v>4</v>
      </c>
      <c r="J6" s="149">
        <v>5</v>
      </c>
      <c r="K6" s="149">
        <f t="shared" si="0"/>
        <v>20</v>
      </c>
      <c r="L6" s="302">
        <f>G2</f>
        <v>7.5337426495907422</v>
      </c>
      <c r="M6" s="149" t="s">
        <v>1641</v>
      </c>
      <c r="N6" s="325">
        <f>'Sub Risk Calc'!P23</f>
        <v>11.899999999999999</v>
      </c>
      <c r="O6" s="149">
        <v>10</v>
      </c>
      <c r="P6" s="144" t="s">
        <v>1642</v>
      </c>
      <c r="Q6" s="149"/>
      <c r="R6" s="304"/>
      <c r="S6" s="305" t="s">
        <v>30</v>
      </c>
      <c r="T6" s="306" t="s">
        <v>1631</v>
      </c>
    </row>
    <row r="7" spans="1:20" s="1" customFormat="1" ht="75.599999999999994" customHeight="1" x14ac:dyDescent="0.2">
      <c r="A7" s="298" t="s">
        <v>1643</v>
      </c>
      <c r="B7" s="299" t="s">
        <v>1625</v>
      </c>
      <c r="C7" s="144" t="s">
        <v>203</v>
      </c>
      <c r="D7" s="144" t="s">
        <v>1644</v>
      </c>
      <c r="E7" s="149" t="s">
        <v>1645</v>
      </c>
      <c r="F7" s="300" t="s">
        <v>1646</v>
      </c>
      <c r="G7" s="301">
        <v>44222</v>
      </c>
      <c r="H7" s="149" t="s">
        <v>730</v>
      </c>
      <c r="I7" s="149">
        <v>3</v>
      </c>
      <c r="J7" s="149">
        <v>5</v>
      </c>
      <c r="K7" s="149">
        <f t="shared" si="0"/>
        <v>15</v>
      </c>
      <c r="L7" s="302">
        <f>G2</f>
        <v>7.5337426495907422</v>
      </c>
      <c r="M7" s="149" t="s">
        <v>1647</v>
      </c>
      <c r="N7" s="325">
        <f>'Sub Risk Calc'!P28</f>
        <v>3.375</v>
      </c>
      <c r="O7" s="149">
        <v>5</v>
      </c>
      <c r="P7" s="144" t="s">
        <v>1648</v>
      </c>
      <c r="Q7" s="149"/>
      <c r="R7" s="304"/>
      <c r="S7" s="305" t="s">
        <v>30</v>
      </c>
      <c r="T7" s="306" t="s">
        <v>1631</v>
      </c>
    </row>
    <row r="8" spans="1:20" s="1" customFormat="1" ht="90" x14ac:dyDescent="0.2">
      <c r="A8" s="298" t="s">
        <v>1649</v>
      </c>
      <c r="B8" s="299" t="s">
        <v>1625</v>
      </c>
      <c r="C8" s="144" t="s">
        <v>855</v>
      </c>
      <c r="D8" s="309" t="s">
        <v>1650</v>
      </c>
      <c r="E8" s="144" t="s">
        <v>1651</v>
      </c>
      <c r="F8" s="300" t="s">
        <v>1652</v>
      </c>
      <c r="G8" s="301">
        <v>44222</v>
      </c>
      <c r="H8" s="149" t="s">
        <v>730</v>
      </c>
      <c r="I8" s="149">
        <v>5</v>
      </c>
      <c r="J8" s="149">
        <v>5</v>
      </c>
      <c r="K8" s="149">
        <f t="shared" si="0"/>
        <v>25</v>
      </c>
      <c r="L8" s="302">
        <f>G2</f>
        <v>7.5337426495907422</v>
      </c>
      <c r="M8" s="149" t="s">
        <v>1653</v>
      </c>
      <c r="N8" s="325">
        <f>'Sub Risk Calc'!P32</f>
        <v>10.477941176470589</v>
      </c>
      <c r="O8" s="149">
        <v>4</v>
      </c>
      <c r="P8" s="144" t="s">
        <v>1654</v>
      </c>
      <c r="Q8" s="149"/>
      <c r="R8" s="304"/>
      <c r="S8" s="305" t="s">
        <v>30</v>
      </c>
      <c r="T8" s="306" t="s">
        <v>1631</v>
      </c>
    </row>
    <row r="9" spans="1:20" s="1" customFormat="1" ht="94.15" customHeight="1" x14ac:dyDescent="0.2">
      <c r="A9" s="298" t="s">
        <v>1655</v>
      </c>
      <c r="B9" s="299" t="s">
        <v>1625</v>
      </c>
      <c r="C9" s="144" t="s">
        <v>901</v>
      </c>
      <c r="D9" s="144" t="s">
        <v>1656</v>
      </c>
      <c r="E9" s="144" t="s">
        <v>1657</v>
      </c>
      <c r="F9" s="300" t="s">
        <v>1628</v>
      </c>
      <c r="G9" s="301">
        <v>44222</v>
      </c>
      <c r="H9" s="149" t="s">
        <v>730</v>
      </c>
      <c r="I9" s="149">
        <v>3</v>
      </c>
      <c r="J9" s="149">
        <v>4</v>
      </c>
      <c r="K9" s="149">
        <f t="shared" si="0"/>
        <v>12</v>
      </c>
      <c r="L9" s="302">
        <f>G2</f>
        <v>7.5337426495907422</v>
      </c>
      <c r="M9" s="304" t="s">
        <v>1658</v>
      </c>
      <c r="N9" s="325">
        <f>'Sub Risk Calc'!P39</f>
        <v>4.0430769230769235</v>
      </c>
      <c r="O9" s="149">
        <v>6</v>
      </c>
      <c r="P9" s="144" t="s">
        <v>1659</v>
      </c>
      <c r="Q9" s="304"/>
      <c r="R9" s="304"/>
      <c r="S9" s="305" t="s">
        <v>30</v>
      </c>
      <c r="T9" s="306" t="s">
        <v>1631</v>
      </c>
    </row>
    <row r="10" spans="1:20" ht="78" customHeight="1" x14ac:dyDescent="0.2">
      <c r="A10" s="298" t="s">
        <v>1660</v>
      </c>
      <c r="B10" s="299" t="s">
        <v>1625</v>
      </c>
      <c r="C10" s="144" t="s">
        <v>930</v>
      </c>
      <c r="D10" s="144" t="s">
        <v>1661</v>
      </c>
      <c r="E10" s="144" t="s">
        <v>1662</v>
      </c>
      <c r="F10" s="300" t="s">
        <v>1628</v>
      </c>
      <c r="G10" s="301">
        <v>44222</v>
      </c>
      <c r="H10" s="149" t="s">
        <v>730</v>
      </c>
      <c r="I10" s="149">
        <v>4</v>
      </c>
      <c r="J10" s="149">
        <v>4</v>
      </c>
      <c r="K10" s="149">
        <f t="shared" si="0"/>
        <v>16</v>
      </c>
      <c r="L10" s="302">
        <f>G2</f>
        <v>7.5337426495907422</v>
      </c>
      <c r="M10" s="149" t="s">
        <v>930</v>
      </c>
      <c r="N10" s="325">
        <f>'Sub Risk Calc'!P45</f>
        <v>13.44</v>
      </c>
      <c r="O10" s="149">
        <v>4</v>
      </c>
      <c r="P10" s="144" t="s">
        <v>1663</v>
      </c>
      <c r="Q10" s="149"/>
      <c r="R10" s="304"/>
      <c r="S10" s="305" t="s">
        <v>30</v>
      </c>
      <c r="T10" s="306" t="s">
        <v>1631</v>
      </c>
    </row>
    <row r="11" spans="1:20" ht="90" customHeight="1" x14ac:dyDescent="0.2">
      <c r="A11" s="307" t="s">
        <v>1664</v>
      </c>
      <c r="B11" s="308" t="s">
        <v>1625</v>
      </c>
      <c r="C11" s="144" t="s">
        <v>259</v>
      </c>
      <c r="D11" s="144" t="s">
        <v>1665</v>
      </c>
      <c r="E11" s="144" t="s">
        <v>1666</v>
      </c>
      <c r="F11" s="300" t="s">
        <v>1628</v>
      </c>
      <c r="G11" s="301">
        <v>44222</v>
      </c>
      <c r="H11" s="149" t="s">
        <v>730</v>
      </c>
      <c r="I11" s="322">
        <v>5</v>
      </c>
      <c r="J11" s="322">
        <v>5</v>
      </c>
      <c r="K11" s="322">
        <f t="shared" si="0"/>
        <v>25</v>
      </c>
      <c r="L11" s="302">
        <f>G2</f>
        <v>7.5337426495907422</v>
      </c>
      <c r="M11" s="21" t="s">
        <v>1667</v>
      </c>
      <c r="N11" s="325">
        <f>'Sub Risk Calc'!P47</f>
        <v>9.6527777777777786</v>
      </c>
      <c r="O11" s="315">
        <v>3</v>
      </c>
      <c r="P11" s="144" t="s">
        <v>1668</v>
      </c>
      <c r="Q11" s="312"/>
      <c r="R11" s="313"/>
      <c r="S11" s="314" t="s">
        <v>30</v>
      </c>
      <c r="T11" s="306" t="s">
        <v>1631</v>
      </c>
    </row>
    <row r="12" spans="1:20" ht="75" x14ac:dyDescent="0.2">
      <c r="A12" s="307" t="s">
        <v>1669</v>
      </c>
      <c r="B12" s="308" t="s">
        <v>1625</v>
      </c>
      <c r="C12" s="144" t="s">
        <v>974</v>
      </c>
      <c r="D12" s="144" t="s">
        <v>1670</v>
      </c>
      <c r="E12" s="144" t="s">
        <v>1671</v>
      </c>
      <c r="F12" s="300" t="s">
        <v>1628</v>
      </c>
      <c r="G12" s="301">
        <v>44222</v>
      </c>
      <c r="H12" s="149" t="s">
        <v>730</v>
      </c>
      <c r="I12" s="322">
        <v>4</v>
      </c>
      <c r="J12" s="322">
        <v>5</v>
      </c>
      <c r="K12" s="322">
        <f t="shared" si="0"/>
        <v>20</v>
      </c>
      <c r="L12" s="302">
        <f>G2</f>
        <v>7.5337426495907422</v>
      </c>
      <c r="M12" s="310" t="s">
        <v>1672</v>
      </c>
      <c r="N12" s="325">
        <f>'Sub Risk Calc'!P52</f>
        <v>7.3928571428571432</v>
      </c>
      <c r="O12" s="315">
        <v>7</v>
      </c>
      <c r="P12" s="144" t="s">
        <v>1673</v>
      </c>
      <c r="Q12" s="316"/>
      <c r="R12" s="313"/>
      <c r="S12" s="314" t="s">
        <v>30</v>
      </c>
      <c r="T12" s="306" t="s">
        <v>1631</v>
      </c>
    </row>
    <row r="13" spans="1:20" ht="60" x14ac:dyDescent="0.2">
      <c r="A13" s="307" t="s">
        <v>1674</v>
      </c>
      <c r="B13" s="308" t="s">
        <v>1625</v>
      </c>
      <c r="C13" s="144" t="s">
        <v>1000</v>
      </c>
      <c r="D13" s="144" t="s">
        <v>1675</v>
      </c>
      <c r="E13" s="144" t="s">
        <v>1676</v>
      </c>
      <c r="F13" s="300" t="s">
        <v>1628</v>
      </c>
      <c r="G13" s="301">
        <v>44222</v>
      </c>
      <c r="H13" s="149" t="s">
        <v>730</v>
      </c>
      <c r="I13" s="322">
        <v>3</v>
      </c>
      <c r="J13" s="322">
        <v>4</v>
      </c>
      <c r="K13" s="322">
        <f t="shared" si="0"/>
        <v>12</v>
      </c>
      <c r="L13" s="302">
        <f>G2</f>
        <v>7.5337426495907422</v>
      </c>
      <c r="M13" s="310" t="s">
        <v>1677</v>
      </c>
      <c r="N13" s="325">
        <f>'Sub Risk Calc'!P57</f>
        <v>2.4000000000000004</v>
      </c>
      <c r="O13" s="315">
        <v>1</v>
      </c>
      <c r="P13" s="144" t="s">
        <v>573</v>
      </c>
      <c r="Q13" s="316"/>
      <c r="R13" s="313"/>
      <c r="S13" s="305" t="s">
        <v>30</v>
      </c>
      <c r="T13" s="306" t="s">
        <v>1631</v>
      </c>
    </row>
    <row r="14" spans="1:20" ht="75" x14ac:dyDescent="0.2">
      <c r="A14" s="307" t="s">
        <v>1678</v>
      </c>
      <c r="B14" s="308" t="s">
        <v>1625</v>
      </c>
      <c r="C14" s="144" t="s">
        <v>1007</v>
      </c>
      <c r="D14" s="309" t="s">
        <v>1679</v>
      </c>
      <c r="E14" s="144" t="s">
        <v>1680</v>
      </c>
      <c r="F14" s="300" t="s">
        <v>1628</v>
      </c>
      <c r="G14" s="301">
        <v>44222</v>
      </c>
      <c r="H14" s="149" t="s">
        <v>730</v>
      </c>
      <c r="I14" s="322">
        <v>4</v>
      </c>
      <c r="J14" s="322">
        <v>3</v>
      </c>
      <c r="K14" s="322">
        <f t="shared" si="0"/>
        <v>12</v>
      </c>
      <c r="L14" s="302">
        <f>G2</f>
        <v>7.5337426495907422</v>
      </c>
      <c r="M14" s="310" t="s">
        <v>1681</v>
      </c>
      <c r="N14" s="325">
        <f>'Sub Risk Calc'!P60</f>
        <v>3</v>
      </c>
      <c r="O14" s="315">
        <v>2</v>
      </c>
      <c r="P14" s="144" t="s">
        <v>1682</v>
      </c>
      <c r="Q14" s="316"/>
      <c r="R14" s="313"/>
      <c r="S14" s="305" t="s">
        <v>30</v>
      </c>
      <c r="T14" s="306" t="s">
        <v>1631</v>
      </c>
    </row>
    <row r="15" spans="1:20" ht="103.15" customHeight="1" x14ac:dyDescent="0.2">
      <c r="A15" s="307" t="s">
        <v>1683</v>
      </c>
      <c r="B15" s="308" t="s">
        <v>1625</v>
      </c>
      <c r="C15" s="144" t="s">
        <v>426</v>
      </c>
      <c r="D15" s="144" t="s">
        <v>1684</v>
      </c>
      <c r="E15" s="144" t="s">
        <v>1685</v>
      </c>
      <c r="F15" s="300" t="s">
        <v>1628</v>
      </c>
      <c r="G15" s="301">
        <v>44222</v>
      </c>
      <c r="H15" s="149" t="s">
        <v>730</v>
      </c>
      <c r="I15" s="322">
        <v>3</v>
      </c>
      <c r="J15" s="322">
        <v>5</v>
      </c>
      <c r="K15" s="322">
        <f t="shared" si="0"/>
        <v>15</v>
      </c>
      <c r="L15" s="302">
        <f>G2</f>
        <v>7.5337426495907422</v>
      </c>
      <c r="M15" s="310" t="s">
        <v>1686</v>
      </c>
      <c r="N15" s="325">
        <f>'Sub Risk Calc'!P63</f>
        <v>4.5438596491228083</v>
      </c>
      <c r="O15" s="315">
        <v>3</v>
      </c>
      <c r="P15" s="144" t="s">
        <v>579</v>
      </c>
      <c r="Q15" s="316"/>
      <c r="R15" s="313"/>
      <c r="S15" s="314" t="s">
        <v>30</v>
      </c>
      <c r="T15" s="306" t="s">
        <v>1631</v>
      </c>
    </row>
    <row r="16" spans="1:20" ht="150" x14ac:dyDescent="0.2">
      <c r="A16" s="307" t="s">
        <v>1687</v>
      </c>
      <c r="B16" s="308" t="s">
        <v>1625</v>
      </c>
      <c r="C16" s="144" t="s">
        <v>1049</v>
      </c>
      <c r="D16" s="144" t="s">
        <v>1688</v>
      </c>
      <c r="E16" s="144" t="s">
        <v>1689</v>
      </c>
      <c r="F16" s="300" t="s">
        <v>1628</v>
      </c>
      <c r="G16" s="301">
        <v>44222</v>
      </c>
      <c r="H16" s="149" t="s">
        <v>730</v>
      </c>
      <c r="I16" s="322">
        <v>4</v>
      </c>
      <c r="J16" s="322">
        <v>3</v>
      </c>
      <c r="K16" s="322">
        <f t="shared" si="0"/>
        <v>12</v>
      </c>
      <c r="L16" s="302">
        <f>G2</f>
        <v>7.5337426495907422</v>
      </c>
      <c r="M16" s="310" t="s">
        <v>1690</v>
      </c>
      <c r="N16" s="325">
        <f>'Sub Risk Calc'!P68</f>
        <v>4.2818181818181822</v>
      </c>
      <c r="O16" s="317">
        <v>3</v>
      </c>
      <c r="P16" s="144" t="s">
        <v>584</v>
      </c>
      <c r="Q16" s="312"/>
      <c r="R16" s="313"/>
      <c r="S16" s="314" t="s">
        <v>30</v>
      </c>
      <c r="T16" s="306" t="s">
        <v>1631</v>
      </c>
    </row>
    <row r="17" spans="1:20" ht="108.6" customHeight="1" x14ac:dyDescent="0.2">
      <c r="A17" s="307" t="s">
        <v>1691</v>
      </c>
      <c r="B17" s="308" t="s">
        <v>1625</v>
      </c>
      <c r="C17" s="144" t="s">
        <v>1098</v>
      </c>
      <c r="D17" s="144" t="s">
        <v>1692</v>
      </c>
      <c r="E17" s="144" t="s">
        <v>1693</v>
      </c>
      <c r="F17" s="300" t="s">
        <v>1628</v>
      </c>
      <c r="G17" s="301">
        <v>44222</v>
      </c>
      <c r="H17" s="149" t="s">
        <v>730</v>
      </c>
      <c r="I17" s="322">
        <v>4</v>
      </c>
      <c r="J17" s="322">
        <v>4</v>
      </c>
      <c r="K17" s="322">
        <f t="shared" si="0"/>
        <v>16</v>
      </c>
      <c r="L17" s="302">
        <f>G2</f>
        <v>7.5337426495907422</v>
      </c>
      <c r="M17" s="21" t="s">
        <v>1694</v>
      </c>
      <c r="N17" s="325">
        <f>'Sub Risk Calc'!P79</f>
        <v>6.6597402597402597</v>
      </c>
      <c r="O17" s="317">
        <v>4</v>
      </c>
      <c r="P17" s="144" t="s">
        <v>595</v>
      </c>
      <c r="Q17" s="316"/>
      <c r="R17" s="313"/>
      <c r="S17" s="305" t="s">
        <v>30</v>
      </c>
      <c r="T17" s="306" t="s">
        <v>1631</v>
      </c>
    </row>
    <row r="18" spans="1:20" ht="78.599999999999994" customHeight="1" x14ac:dyDescent="0.2">
      <c r="A18" s="307" t="s">
        <v>1695</v>
      </c>
      <c r="B18" s="308" t="s">
        <v>1625</v>
      </c>
      <c r="C18" s="144" t="s">
        <v>1165</v>
      </c>
      <c r="D18" s="144" t="s">
        <v>1696</v>
      </c>
      <c r="E18" s="144" t="s">
        <v>1697</v>
      </c>
      <c r="F18" s="300" t="s">
        <v>1628</v>
      </c>
      <c r="G18" s="301">
        <v>44222</v>
      </c>
      <c r="H18" s="149" t="s">
        <v>730</v>
      </c>
      <c r="I18" s="322">
        <v>5</v>
      </c>
      <c r="J18" s="322">
        <v>4</v>
      </c>
      <c r="K18" s="322">
        <f t="shared" si="0"/>
        <v>20</v>
      </c>
      <c r="L18" s="302">
        <f>G2</f>
        <v>7.5337426495907422</v>
      </c>
      <c r="M18" s="310" t="s">
        <v>1698</v>
      </c>
      <c r="N18" s="325">
        <f>'Sub Risk Calc'!P90</f>
        <v>15.2</v>
      </c>
      <c r="O18" s="317">
        <v>4</v>
      </c>
      <c r="P18" s="144" t="s">
        <v>606</v>
      </c>
      <c r="Q18" s="316"/>
      <c r="R18" s="313"/>
      <c r="S18" s="305" t="s">
        <v>30</v>
      </c>
      <c r="T18" s="306" t="s">
        <v>1631</v>
      </c>
    </row>
    <row r="19" spans="1:20" ht="111" customHeight="1" x14ac:dyDescent="0.2">
      <c r="A19" s="307" t="s">
        <v>1699</v>
      </c>
      <c r="B19" s="308" t="s">
        <v>1625</v>
      </c>
      <c r="C19" s="144" t="s">
        <v>463</v>
      </c>
      <c r="D19" s="144" t="s">
        <v>1700</v>
      </c>
      <c r="E19" s="144" t="s">
        <v>1701</v>
      </c>
      <c r="F19" s="300" t="s">
        <v>1628</v>
      </c>
      <c r="G19" s="301">
        <v>44222</v>
      </c>
      <c r="H19" s="149" t="s">
        <v>730</v>
      </c>
      <c r="I19" s="322">
        <v>4</v>
      </c>
      <c r="J19" s="322">
        <v>4</v>
      </c>
      <c r="K19" s="322">
        <f t="shared" si="0"/>
        <v>16</v>
      </c>
      <c r="L19" s="302">
        <f>G2</f>
        <v>7.5337426495907422</v>
      </c>
      <c r="M19" s="21" t="s">
        <v>1702</v>
      </c>
      <c r="N19" s="325">
        <f>'Sub Risk Calc'!P93</f>
        <v>8.0242424242424253</v>
      </c>
      <c r="O19" s="317">
        <v>4</v>
      </c>
      <c r="P19" s="144" t="s">
        <v>610</v>
      </c>
      <c r="Q19" s="316"/>
      <c r="R19" s="313"/>
      <c r="S19" s="305" t="s">
        <v>30</v>
      </c>
      <c r="T19" s="306" t="s">
        <v>1631</v>
      </c>
    </row>
    <row r="20" spans="1:20" ht="98.45" customHeight="1" x14ac:dyDescent="0.2">
      <c r="A20" s="307" t="s">
        <v>1703</v>
      </c>
      <c r="B20" s="308" t="s">
        <v>1625</v>
      </c>
      <c r="C20" s="318" t="s">
        <v>482</v>
      </c>
      <c r="D20" s="144" t="s">
        <v>1704</v>
      </c>
      <c r="E20" s="144" t="s">
        <v>1705</v>
      </c>
      <c r="F20" s="300" t="s">
        <v>1628</v>
      </c>
      <c r="G20" s="301">
        <v>44222</v>
      </c>
      <c r="H20" s="149" t="s">
        <v>730</v>
      </c>
      <c r="I20" s="322">
        <v>4</v>
      </c>
      <c r="J20" s="322">
        <v>5</v>
      </c>
      <c r="K20" s="322">
        <f t="shared" si="0"/>
        <v>20</v>
      </c>
      <c r="L20" s="302">
        <f>G2</f>
        <v>7.5337426495907422</v>
      </c>
      <c r="M20" s="310" t="s">
        <v>1706</v>
      </c>
      <c r="N20" s="325">
        <f>'Sub Risk Calc'!P98</f>
        <v>9.4400000000000013</v>
      </c>
      <c r="O20" s="317">
        <v>3</v>
      </c>
      <c r="P20" s="318" t="s">
        <v>616</v>
      </c>
      <c r="Q20" s="316"/>
      <c r="R20" s="313"/>
      <c r="S20" s="305" t="s">
        <v>30</v>
      </c>
      <c r="T20" s="306" t="s">
        <v>1631</v>
      </c>
    </row>
    <row r="21" spans="1:20" x14ac:dyDescent="0.2">
      <c r="N21" s="320"/>
      <c r="O21" s="320"/>
    </row>
    <row r="22" spans="1:20" x14ac:dyDescent="0.2">
      <c r="N22" s="320"/>
      <c r="O22" s="320"/>
    </row>
    <row r="23" spans="1:20" x14ac:dyDescent="0.2">
      <c r="N23" s="320"/>
      <c r="O23" s="320"/>
    </row>
    <row r="24" spans="1:20" x14ac:dyDescent="0.2">
      <c r="N24" s="320"/>
      <c r="O24" s="320"/>
    </row>
    <row r="25" spans="1:20" x14ac:dyDescent="0.2">
      <c r="N25" s="320"/>
      <c r="O25" s="320"/>
    </row>
    <row r="26" spans="1:20" x14ac:dyDescent="0.2">
      <c r="N26" s="320"/>
      <c r="O26" s="320"/>
    </row>
    <row r="27" spans="1:20" x14ac:dyDescent="0.2">
      <c r="N27" s="320"/>
      <c r="O27" s="320"/>
    </row>
    <row r="28" spans="1:20" x14ac:dyDescent="0.2">
      <c r="N28" s="320"/>
      <c r="O28" s="320"/>
    </row>
    <row r="29" spans="1:20" x14ac:dyDescent="0.2">
      <c r="N29" s="320"/>
      <c r="O29" s="320"/>
    </row>
    <row r="30" spans="1:20" x14ac:dyDescent="0.2">
      <c r="N30" s="320"/>
      <c r="O30" s="320"/>
    </row>
    <row r="31" spans="1:20" x14ac:dyDescent="0.2">
      <c r="N31" s="320"/>
      <c r="O31" s="320"/>
    </row>
    <row r="32" spans="1:20" x14ac:dyDescent="0.2">
      <c r="N32" s="320"/>
      <c r="O32" s="320"/>
    </row>
    <row r="33" spans="14:15" x14ac:dyDescent="0.2">
      <c r="N33" s="320"/>
      <c r="O33" s="320"/>
    </row>
    <row r="34" spans="14:15" x14ac:dyDescent="0.2">
      <c r="N34" s="320"/>
      <c r="O34" s="320"/>
    </row>
    <row r="35" spans="14:15" x14ac:dyDescent="0.2">
      <c r="N35" s="320"/>
      <c r="O35" s="320"/>
    </row>
  </sheetData>
  <mergeCells count="2">
    <mergeCell ref="C1:T1"/>
    <mergeCell ref="I2:K2"/>
  </mergeCells>
  <conditionalFormatting sqref="I4:J20">
    <cfRule type="colorScale" priority="8">
      <colorScale>
        <cfvo type="min"/>
        <cfvo type="percentile" val="50"/>
        <cfvo type="max"/>
        <color rgb="FF63BE7B"/>
        <color rgb="FFFFEB84"/>
        <color rgb="FFF8696B"/>
      </colorScale>
    </cfRule>
  </conditionalFormatting>
  <conditionalFormatting sqref="K4">
    <cfRule type="colorScale" priority="18">
      <colorScale>
        <cfvo type="min"/>
        <cfvo type="percentile" val="50"/>
        <cfvo type="max"/>
        <color rgb="FF63BE7B"/>
        <color rgb="FFFFEB84"/>
        <color rgb="FFF8696B"/>
      </colorScale>
    </cfRule>
  </conditionalFormatting>
  <conditionalFormatting sqref="K4:K9 K11:K20">
    <cfRule type="colorScale" priority="22">
      <colorScale>
        <cfvo type="min"/>
        <cfvo type="percentile" val="50"/>
        <cfvo type="max"/>
        <color rgb="FF63BE7B"/>
        <color rgb="FFFFEB84"/>
        <color rgb="FFF8696B"/>
      </colorScale>
    </cfRule>
  </conditionalFormatting>
  <conditionalFormatting sqref="K4:K20">
    <cfRule type="colorScale" priority="9">
      <colorScale>
        <cfvo type="min"/>
        <cfvo type="percentile" val="50"/>
        <cfvo type="max"/>
        <color rgb="FF63BE7B"/>
        <color rgb="FFFFEB84"/>
        <color rgb="FFF8696B"/>
      </colorScale>
    </cfRule>
  </conditionalFormatting>
  <conditionalFormatting sqref="K5:K6">
    <cfRule type="colorScale" priority="17">
      <colorScale>
        <cfvo type="min"/>
        <cfvo type="percentile" val="50"/>
        <cfvo type="max"/>
        <color rgb="FF63BE7B"/>
        <color rgb="FFFFEB84"/>
        <color rgb="FFF8696B"/>
      </colorScale>
    </cfRule>
  </conditionalFormatting>
  <conditionalFormatting sqref="K7">
    <cfRule type="colorScale" priority="16">
      <colorScale>
        <cfvo type="min"/>
        <cfvo type="percentile" val="50"/>
        <cfvo type="max"/>
        <color rgb="FF63BE7B"/>
        <color rgb="FFFFEB84"/>
        <color rgb="FFF8696B"/>
      </colorScale>
    </cfRule>
  </conditionalFormatting>
  <conditionalFormatting sqref="K8">
    <cfRule type="colorScale" priority="15">
      <colorScale>
        <cfvo type="min"/>
        <cfvo type="percentile" val="50"/>
        <cfvo type="max"/>
        <color rgb="FF63BE7B"/>
        <color rgb="FFFFEB84"/>
        <color rgb="FFF8696B"/>
      </colorScale>
    </cfRule>
  </conditionalFormatting>
  <conditionalFormatting sqref="K9">
    <cfRule type="colorScale" priority="14">
      <colorScale>
        <cfvo type="min"/>
        <cfvo type="percentile" val="50"/>
        <cfvo type="max"/>
        <color rgb="FF63BE7B"/>
        <color rgb="FFFFEB84"/>
        <color rgb="FFF8696B"/>
      </colorScale>
    </cfRule>
  </conditionalFormatting>
  <conditionalFormatting sqref="K10">
    <cfRule type="uniqueValues" dxfId="54" priority="13"/>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uniqueValues" dxfId="53" priority="12"/>
  </conditionalFormatting>
  <conditionalFormatting sqref="K11">
    <cfRule type="uniqueValues" dxfId="52" priority="20"/>
    <cfRule type="uniqueValues" dxfId="51" priority="21"/>
    <cfRule type="colorScale" priority="19">
      <colorScale>
        <cfvo type="min"/>
        <cfvo type="percentile" val="50"/>
        <cfvo type="max"/>
        <color rgb="FF63BE7B"/>
        <color rgb="FFFFEB84"/>
        <color rgb="FFF8696B"/>
      </colorScale>
    </cfRule>
  </conditionalFormatting>
  <conditionalFormatting sqref="K12:K20">
    <cfRule type="colorScale" priority="23">
      <colorScale>
        <cfvo type="min"/>
        <cfvo type="percentile" val="50"/>
        <cfvo type="max"/>
        <color rgb="FF63BE7B"/>
        <color rgb="FFFFEB84"/>
        <color rgb="FFF8696B"/>
      </colorScale>
    </cfRule>
    <cfRule type="uniqueValues" dxfId="50" priority="24"/>
    <cfRule type="uniqueValues" dxfId="49" priority="25"/>
  </conditionalFormatting>
  <conditionalFormatting sqref="N4">
    <cfRule type="colorScale" priority="4">
      <colorScale>
        <cfvo type="min"/>
        <cfvo type="percentile" val="50"/>
        <cfvo type="max"/>
        <color rgb="FF63BE7B"/>
        <color rgb="FFFFEB84"/>
        <color rgb="FFF8696B"/>
      </colorScale>
    </cfRule>
  </conditionalFormatting>
  <conditionalFormatting sqref="N4:N5">
    <cfRule type="colorScale" priority="2">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N4:N20">
    <cfRule type="colorScale" priority="1">
      <colorScale>
        <cfvo type="min"/>
        <cfvo type="percentile" val="50"/>
        <cfvo type="max"/>
        <color rgb="FF63BE7B"/>
        <color rgb="FFFFEB84"/>
        <color rgb="FFF8696B"/>
      </colorScale>
    </cfRule>
  </conditionalFormatting>
  <conditionalFormatting sqref="N5">
    <cfRule type="colorScale" priority="3">
      <colorScale>
        <cfvo type="min"/>
        <cfvo type="percentile" val="50"/>
        <cfvo type="max"/>
        <color rgb="FF63BE7B"/>
        <color rgb="FFFFEB84"/>
        <color rgb="FFF8696B"/>
      </colorScale>
    </cfRule>
  </conditionalFormatting>
  <conditionalFormatting sqref="N6:N20">
    <cfRule type="colorScale" priority="7">
      <colorScale>
        <cfvo type="min"/>
        <cfvo type="percentile" val="50"/>
        <cfvo type="max"/>
        <color rgb="FF63BE7B"/>
        <color rgb="FFFFEB84"/>
        <color rgb="FFF8696B"/>
      </colorScale>
    </cfRule>
  </conditionalFormatting>
  <conditionalFormatting sqref="O4">
    <cfRule type="colorScale" priority="52">
      <colorScale>
        <cfvo type="min"/>
        <cfvo type="percentile" val="50"/>
        <cfvo type="max"/>
        <color rgb="FF63BE7B"/>
        <color rgb="FFFFEB84"/>
        <color rgb="FFF8696B"/>
      </colorScale>
    </cfRule>
  </conditionalFormatting>
  <conditionalFormatting sqref="O4:O6 O11:O20">
    <cfRule type="colorScale" priority="88">
      <colorScale>
        <cfvo type="min"/>
        <cfvo type="percentile" val="50"/>
        <cfvo type="max"/>
        <color rgb="FF63BE7B"/>
        <color rgb="FFFFEB84"/>
        <color rgb="FFF8696B"/>
      </colorScale>
    </cfRule>
  </conditionalFormatting>
  <conditionalFormatting sqref="O4:O9 O11:O20">
    <cfRule type="colorScale" priority="87">
      <colorScale>
        <cfvo type="min"/>
        <cfvo type="percentile" val="50"/>
        <cfvo type="max"/>
        <color rgb="FF63BE7B"/>
        <color rgb="FFFFEB84"/>
        <color rgb="FFF8696B"/>
      </colorScale>
    </cfRule>
  </conditionalFormatting>
  <conditionalFormatting sqref="O4:O20">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onditionalFormatting>
  <conditionalFormatting sqref="O5:O6">
    <cfRule type="colorScale" priority="50">
      <colorScale>
        <cfvo type="min"/>
        <cfvo type="percentile" val="50"/>
        <cfvo type="max"/>
        <color rgb="FF63BE7B"/>
        <color rgb="FFFFEB84"/>
        <color rgb="FFF8696B"/>
      </colorScale>
    </cfRule>
  </conditionalFormatting>
  <conditionalFormatting sqref="O7">
    <cfRule type="colorScale" priority="49">
      <colorScale>
        <cfvo type="min"/>
        <cfvo type="percentile" val="50"/>
        <cfvo type="max"/>
        <color rgb="FF63BE7B"/>
        <color rgb="FFFFEB84"/>
        <color rgb="FFF8696B"/>
      </colorScale>
    </cfRule>
  </conditionalFormatting>
  <conditionalFormatting sqref="O8">
    <cfRule type="colorScale" priority="48">
      <colorScale>
        <cfvo type="min"/>
        <cfvo type="percentile" val="50"/>
        <cfvo type="max"/>
        <color rgb="FF63BE7B"/>
        <color rgb="FFFFEB84"/>
        <color rgb="FFF8696B"/>
      </colorScale>
    </cfRule>
  </conditionalFormatting>
  <conditionalFormatting sqref="O9">
    <cfRule type="colorScale" priority="47">
      <colorScale>
        <cfvo type="min"/>
        <cfvo type="percentile" val="50"/>
        <cfvo type="max"/>
        <color rgb="FF63BE7B"/>
        <color rgb="FFFFEB84"/>
        <color rgb="FFF8696B"/>
      </colorScale>
    </cfRule>
  </conditionalFormatting>
  <conditionalFormatting sqref="O10">
    <cfRule type="cellIs" dxfId="48" priority="37" stopIfTrue="1" operator="between">
      <formula>5</formula>
      <formula>8</formula>
    </cfRule>
    <cfRule type="cellIs" dxfId="47" priority="38" stopIfTrue="1" operator="between">
      <formula>9</formula>
      <formula>19</formula>
    </cfRule>
    <cfRule type="cellIs" dxfId="46" priority="39" stopIfTrue="1" operator="between">
      <formula>1</formula>
      <formula>4</formula>
    </cfRule>
    <cfRule type="cellIs" dxfId="45" priority="40" stopIfTrue="1" operator="between">
      <formula>20</formula>
      <formula>25</formula>
    </cfRule>
    <cfRule type="cellIs" dxfId="44" priority="41" stopIfTrue="1" operator="between">
      <formula>9</formula>
      <formula>16</formula>
    </cfRule>
    <cfRule type="cellIs" dxfId="43" priority="33" operator="between">
      <formula>9</formula>
      <formula>16</formula>
    </cfRule>
    <cfRule type="cellIs" dxfId="42" priority="43" stopIfTrue="1" operator="between">
      <formula>1</formula>
      <formula>4</formula>
    </cfRule>
    <cfRule type="cellIs" dxfId="41" priority="44" stopIfTrue="1" operator="between">
      <formula>1</formula>
      <formula>4</formula>
    </cfRule>
    <cfRule type="cellIs" dxfId="40" priority="45" stopIfTrue="1" operator="between">
      <formula>5</formula>
      <formula>8</formula>
    </cfRule>
    <cfRule type="cellIs" dxfId="39" priority="46" stopIfTrue="1" operator="between">
      <formula>9</formula>
      <formula>16</formula>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ellIs" dxfId="38" priority="32" operator="greaterThan">
      <formula>16</formula>
    </cfRule>
    <cfRule type="cellIs" dxfId="37" priority="34" operator="between">
      <formula>5</formula>
      <formula>8</formula>
    </cfRule>
    <cfRule type="cellIs" dxfId="36" priority="42" stopIfTrue="1" operator="between">
      <formula>5</formula>
      <formula>8</formula>
    </cfRule>
    <cfRule type="cellIs" dxfId="35" priority="35" stopIfTrue="1" operator="between">
      <formula>1</formula>
      <formula>5</formula>
    </cfRule>
    <cfRule type="cellIs" dxfId="34" priority="36" stopIfTrue="1" operator="between">
      <formula>1</formula>
      <formula>4</formula>
    </cfRule>
  </conditionalFormatting>
  <conditionalFormatting sqref="O11">
    <cfRule type="cellIs" dxfId="33" priority="57" stopIfTrue="1" operator="between">
      <formula>5</formula>
      <formula>8</formula>
    </cfRule>
    <cfRule type="cellIs" dxfId="32" priority="58" stopIfTrue="1" operator="between">
      <formula>1</formula>
      <formula>5</formula>
    </cfRule>
    <cfRule type="cellIs" dxfId="31" priority="59" stopIfTrue="1" operator="between">
      <formula>1</formula>
      <formula>4</formula>
    </cfRule>
    <cfRule type="cellIs" dxfId="30" priority="60" stopIfTrue="1" operator="between">
      <formula>5</formula>
      <formula>8</formula>
    </cfRule>
    <cfRule type="cellIs" dxfId="29" priority="61" stopIfTrue="1" operator="between">
      <formula>9</formula>
      <formula>19</formula>
    </cfRule>
    <cfRule type="cellIs" dxfId="28" priority="62" stopIfTrue="1" operator="between">
      <formula>1</formula>
      <formula>4</formula>
    </cfRule>
    <cfRule type="cellIs" dxfId="27" priority="63" stopIfTrue="1" operator="between">
      <formula>20</formula>
      <formula>25</formula>
    </cfRule>
    <cfRule type="cellIs" dxfId="26" priority="65" stopIfTrue="1" operator="between">
      <formula>5</formula>
      <formula>8</formula>
    </cfRule>
    <cfRule type="cellIs" dxfId="25" priority="67" stopIfTrue="1" operator="between">
      <formula>1</formula>
      <formula>4</formula>
    </cfRule>
    <cfRule type="cellIs" dxfId="24" priority="68" stopIfTrue="1" operator="between">
      <formula>5</formula>
      <formula>8</formula>
    </cfRule>
    <cfRule type="cellIs" dxfId="23" priority="69" stopIfTrue="1" operator="between">
      <formula>9</formula>
      <formula>16</formula>
    </cfRule>
    <cfRule type="cellIs" dxfId="22" priority="66" stopIfTrue="1" operator="between">
      <formula>1</formula>
      <formula>4</formula>
    </cfRule>
    <cfRule type="cellIs" dxfId="21" priority="56" stopIfTrue="1" operator="between">
      <formula>9</formula>
      <formula>16</formula>
    </cfRule>
  </conditionalFormatting>
  <conditionalFormatting sqref="O11:O20">
    <cfRule type="cellIs" dxfId="20" priority="64" stopIfTrue="1" operator="between">
      <formula>9</formula>
      <formula>16</formula>
    </cfRule>
    <cfRule type="cellIs" dxfId="19" priority="55" stopIfTrue="1" operator="greaterThan">
      <formula>16</formula>
    </cfRule>
  </conditionalFormatting>
  <conditionalFormatting sqref="O12:O20">
    <cfRule type="cellIs" dxfId="18" priority="72" stopIfTrue="1" operator="between">
      <formula>5</formula>
      <formula>8</formula>
    </cfRule>
    <cfRule type="cellIs" dxfId="17" priority="73" stopIfTrue="1" operator="between">
      <formula>1</formula>
      <formula>5</formula>
    </cfRule>
    <cfRule type="cellIs" dxfId="16" priority="74" stopIfTrue="1" operator="between">
      <formula>1</formula>
      <formula>4</formula>
    </cfRule>
    <cfRule type="cellIs" dxfId="15" priority="75" stopIfTrue="1" operator="between">
      <formula>5</formula>
      <formula>8</formula>
    </cfRule>
    <cfRule type="cellIs" dxfId="14" priority="76" stopIfTrue="1" operator="between">
      <formula>9</formula>
      <formula>19</formula>
    </cfRule>
    <cfRule type="cellIs" dxfId="13" priority="78" stopIfTrue="1" operator="between">
      <formula>20</formula>
      <formula>25</formula>
    </cfRule>
    <cfRule type="cellIs" dxfId="12" priority="79" stopIfTrue="1" operator="between">
      <formula>9</formula>
      <formula>16</formula>
    </cfRule>
    <cfRule type="cellIs" dxfId="11" priority="80" stopIfTrue="1" operator="between">
      <formula>5</formula>
      <formula>8</formula>
    </cfRule>
    <cfRule type="cellIs" dxfId="10" priority="81" stopIfTrue="1" operator="between">
      <formula>1</formula>
      <formula>4</formula>
    </cfRule>
    <cfRule type="cellIs" dxfId="9" priority="82" stopIfTrue="1" operator="between">
      <formula>1</formula>
      <formula>4</formula>
    </cfRule>
    <cfRule type="cellIs" dxfId="8" priority="83" stopIfTrue="1" operator="between">
      <formula>5</formula>
      <formula>8</formula>
    </cfRule>
    <cfRule type="cellIs" dxfId="7" priority="84" stopIfTrue="1" operator="between">
      <formula>9</formula>
      <formula>16</formula>
    </cfRule>
    <cfRule type="cellIs" dxfId="6" priority="77" stopIfTrue="1" operator="between">
      <formula>1</formula>
      <formula>4</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68C6-9999-408E-BB61-2D5B7B5CE3BF}">
  <dimension ref="A1:E18"/>
  <sheetViews>
    <sheetView workbookViewId="0">
      <selection activeCell="E25" sqref="E25"/>
    </sheetView>
  </sheetViews>
  <sheetFormatPr defaultRowHeight="14.25" x14ac:dyDescent="0.2"/>
  <cols>
    <col min="1" max="1" width="7" customWidth="1"/>
    <col min="2" max="2" width="29.5" customWidth="1"/>
    <col min="3" max="3" width="16.75" customWidth="1"/>
    <col min="4" max="4" width="16.125" customWidth="1"/>
    <col min="5" max="5" width="15.25" customWidth="1"/>
  </cols>
  <sheetData>
    <row r="1" spans="1:5" ht="30" x14ac:dyDescent="0.2">
      <c r="A1" s="291" t="s">
        <v>1608</v>
      </c>
      <c r="B1" s="293" t="s">
        <v>1610</v>
      </c>
      <c r="C1" s="294" t="s">
        <v>1711</v>
      </c>
      <c r="D1" s="295" t="s">
        <v>1618</v>
      </c>
      <c r="E1" s="293" t="s">
        <v>703</v>
      </c>
    </row>
    <row r="2" spans="1:5" ht="15" x14ac:dyDescent="0.2">
      <c r="A2" s="298" t="s">
        <v>1624</v>
      </c>
      <c r="B2" s="326" t="s">
        <v>734</v>
      </c>
      <c r="C2" s="149">
        <f>'CRF Risk View'!K4</f>
        <v>25</v>
      </c>
      <c r="D2" s="323">
        <f>'CRF Risk View'!N4</f>
        <v>8.7065972222222214</v>
      </c>
      <c r="E2" s="327">
        <f>C2-D2</f>
        <v>16.293402777777779</v>
      </c>
    </row>
    <row r="3" spans="1:5" ht="15" x14ac:dyDescent="0.2">
      <c r="A3" s="307" t="s">
        <v>1632</v>
      </c>
      <c r="B3" s="326" t="s">
        <v>773</v>
      </c>
      <c r="C3" s="329">
        <f>'CRF Risk View'!K5</f>
        <v>25</v>
      </c>
      <c r="D3" s="323">
        <f>'CRF Risk View'!N5</f>
        <v>5.5357142857142847</v>
      </c>
      <c r="E3" s="327">
        <f t="shared" ref="E3:E18" si="0">C3-D3</f>
        <v>19.464285714285715</v>
      </c>
    </row>
    <row r="4" spans="1:5" ht="15" x14ac:dyDescent="0.2">
      <c r="A4" s="298" t="s">
        <v>1637</v>
      </c>
      <c r="B4" s="326" t="s">
        <v>809</v>
      </c>
      <c r="C4" s="149">
        <f>'CRF Risk View'!K6</f>
        <v>20</v>
      </c>
      <c r="D4" s="323">
        <f>'CRF Risk View'!N6</f>
        <v>11.899999999999999</v>
      </c>
      <c r="E4" s="327">
        <f t="shared" si="0"/>
        <v>8.1000000000000014</v>
      </c>
    </row>
    <row r="5" spans="1:5" ht="15" x14ac:dyDescent="0.2">
      <c r="A5" s="298" t="s">
        <v>1643</v>
      </c>
      <c r="B5" s="326" t="s">
        <v>203</v>
      </c>
      <c r="C5" s="149">
        <f>'CRF Risk View'!K7</f>
        <v>15</v>
      </c>
      <c r="D5" s="323">
        <f>'CRF Risk View'!N7</f>
        <v>3.375</v>
      </c>
      <c r="E5" s="327">
        <f t="shared" si="0"/>
        <v>11.625</v>
      </c>
    </row>
    <row r="6" spans="1:5" ht="15" x14ac:dyDescent="0.2">
      <c r="A6" s="298" t="s">
        <v>1649</v>
      </c>
      <c r="B6" s="326" t="s">
        <v>855</v>
      </c>
      <c r="C6" s="149">
        <f>'CRF Risk View'!K8</f>
        <v>25</v>
      </c>
      <c r="D6" s="323">
        <f>'CRF Risk View'!N8</f>
        <v>10.477941176470589</v>
      </c>
      <c r="E6" s="327">
        <f t="shared" si="0"/>
        <v>14.522058823529411</v>
      </c>
    </row>
    <row r="7" spans="1:5" ht="15" x14ac:dyDescent="0.2">
      <c r="A7" s="298" t="s">
        <v>1655</v>
      </c>
      <c r="B7" s="326" t="s">
        <v>901</v>
      </c>
      <c r="C7" s="149">
        <f>'CRF Risk View'!K9</f>
        <v>12</v>
      </c>
      <c r="D7" s="323">
        <f>'CRF Risk View'!N9</f>
        <v>4.0430769230769235</v>
      </c>
      <c r="E7" s="327">
        <f t="shared" si="0"/>
        <v>7.9569230769230765</v>
      </c>
    </row>
    <row r="8" spans="1:5" ht="15" x14ac:dyDescent="0.2">
      <c r="A8" s="298" t="s">
        <v>1660</v>
      </c>
      <c r="B8" s="326" t="s">
        <v>930</v>
      </c>
      <c r="C8" s="149">
        <f>'CRF Risk View'!K10</f>
        <v>16</v>
      </c>
      <c r="D8" s="323">
        <f>'CRF Risk View'!N10</f>
        <v>13.44</v>
      </c>
      <c r="E8" s="327">
        <f t="shared" si="0"/>
        <v>2.5600000000000005</v>
      </c>
    </row>
    <row r="9" spans="1:5" ht="15" x14ac:dyDescent="0.2">
      <c r="A9" s="307" t="s">
        <v>1664</v>
      </c>
      <c r="B9" s="326" t="s">
        <v>259</v>
      </c>
      <c r="C9" s="329">
        <f>'CRF Risk View'!K11</f>
        <v>25</v>
      </c>
      <c r="D9" s="323">
        <f>'CRF Risk View'!N11</f>
        <v>9.6527777777777786</v>
      </c>
      <c r="E9" s="327">
        <f t="shared" si="0"/>
        <v>15.347222222222221</v>
      </c>
    </row>
    <row r="10" spans="1:5" ht="15" x14ac:dyDescent="0.2">
      <c r="A10" s="307" t="s">
        <v>1669</v>
      </c>
      <c r="B10" s="326" t="s">
        <v>974</v>
      </c>
      <c r="C10" s="329">
        <f>'CRF Risk View'!K12</f>
        <v>20</v>
      </c>
      <c r="D10" s="323">
        <f>'CRF Risk View'!N12</f>
        <v>7.3928571428571432</v>
      </c>
      <c r="E10" s="327">
        <f t="shared" si="0"/>
        <v>12.607142857142858</v>
      </c>
    </row>
    <row r="11" spans="1:5" ht="15" x14ac:dyDescent="0.2">
      <c r="A11" s="307" t="s">
        <v>1674</v>
      </c>
      <c r="B11" s="326" t="s">
        <v>1000</v>
      </c>
      <c r="C11" s="329">
        <f>'CRF Risk View'!K13</f>
        <v>12</v>
      </c>
      <c r="D11" s="323">
        <f>'CRF Risk View'!N13</f>
        <v>2.4000000000000004</v>
      </c>
      <c r="E11" s="327">
        <f t="shared" si="0"/>
        <v>9.6</v>
      </c>
    </row>
    <row r="12" spans="1:5" ht="15" x14ac:dyDescent="0.2">
      <c r="A12" s="307" t="s">
        <v>1678</v>
      </c>
      <c r="B12" s="326" t="s">
        <v>1007</v>
      </c>
      <c r="C12" s="329">
        <f>'CRF Risk View'!K14</f>
        <v>12</v>
      </c>
      <c r="D12" s="323">
        <f>'CRF Risk View'!N14</f>
        <v>3</v>
      </c>
      <c r="E12" s="327">
        <f t="shared" si="0"/>
        <v>9</v>
      </c>
    </row>
    <row r="13" spans="1:5" ht="15" x14ac:dyDescent="0.2">
      <c r="A13" s="307" t="s">
        <v>1683</v>
      </c>
      <c r="B13" s="326" t="s">
        <v>426</v>
      </c>
      <c r="C13" s="329">
        <f>'CRF Risk View'!K15</f>
        <v>15</v>
      </c>
      <c r="D13" s="323">
        <f>'CRF Risk View'!N15</f>
        <v>4.5438596491228083</v>
      </c>
      <c r="E13" s="327">
        <f t="shared" si="0"/>
        <v>10.456140350877192</v>
      </c>
    </row>
    <row r="14" spans="1:5" ht="15" x14ac:dyDescent="0.2">
      <c r="A14" s="307" t="s">
        <v>1687</v>
      </c>
      <c r="B14" s="326" t="s">
        <v>1049</v>
      </c>
      <c r="C14" s="329">
        <f>'CRF Risk View'!K16</f>
        <v>12</v>
      </c>
      <c r="D14" s="323">
        <f>'CRF Risk View'!N16</f>
        <v>4.2818181818181822</v>
      </c>
      <c r="E14" s="327">
        <f t="shared" si="0"/>
        <v>7.7181818181818178</v>
      </c>
    </row>
    <row r="15" spans="1:5" ht="15" x14ac:dyDescent="0.2">
      <c r="A15" s="307" t="s">
        <v>1691</v>
      </c>
      <c r="B15" s="326" t="s">
        <v>1098</v>
      </c>
      <c r="C15" s="329">
        <f>'CRF Risk View'!K17</f>
        <v>16</v>
      </c>
      <c r="D15" s="323">
        <f>'CRF Risk View'!N17</f>
        <v>6.6597402597402597</v>
      </c>
      <c r="E15" s="327">
        <f t="shared" si="0"/>
        <v>9.3402597402597394</v>
      </c>
    </row>
    <row r="16" spans="1:5" ht="15" x14ac:dyDescent="0.2">
      <c r="A16" s="307" t="s">
        <v>1695</v>
      </c>
      <c r="B16" s="326" t="s">
        <v>1165</v>
      </c>
      <c r="C16" s="329">
        <f>'CRF Risk View'!K18</f>
        <v>20</v>
      </c>
      <c r="D16" s="323">
        <f>'CRF Risk View'!N18</f>
        <v>15.2</v>
      </c>
      <c r="E16" s="327">
        <f t="shared" si="0"/>
        <v>4.8000000000000007</v>
      </c>
    </row>
    <row r="17" spans="1:5" ht="15" x14ac:dyDescent="0.2">
      <c r="A17" s="307" t="s">
        <v>1699</v>
      </c>
      <c r="B17" s="326" t="s">
        <v>463</v>
      </c>
      <c r="C17" s="329">
        <f>'CRF Risk View'!K19</f>
        <v>16</v>
      </c>
      <c r="D17" s="323">
        <f>'CRF Risk View'!N19</f>
        <v>8.0242424242424253</v>
      </c>
      <c r="E17" s="327">
        <f t="shared" si="0"/>
        <v>7.9757575757575747</v>
      </c>
    </row>
    <row r="18" spans="1:5" ht="15" x14ac:dyDescent="0.2">
      <c r="A18" s="307" t="s">
        <v>1703</v>
      </c>
      <c r="B18" s="328" t="s">
        <v>482</v>
      </c>
      <c r="C18" s="329">
        <f>'CRF Risk View'!K20</f>
        <v>20</v>
      </c>
      <c r="D18" s="323">
        <f>'CRF Risk View'!N20</f>
        <v>9.4400000000000013</v>
      </c>
      <c r="E18" s="327">
        <f t="shared" si="0"/>
        <v>10.559999999999999</v>
      </c>
    </row>
  </sheetData>
  <conditionalFormatting sqref="C2:C18">
    <cfRule type="colorScale" priority="10">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C3:C4">
    <cfRule type="colorScale" priority="18">
      <colorScale>
        <cfvo type="min"/>
        <cfvo type="percentile" val="50"/>
        <cfvo type="max"/>
        <color rgb="FF63BE7B"/>
        <color rgb="FFFFEB84"/>
        <color rgb="FFF8696B"/>
      </colorScale>
    </cfRule>
  </conditionalFormatting>
  <conditionalFormatting sqref="C5">
    <cfRule type="colorScale" priority="17">
      <colorScale>
        <cfvo type="min"/>
        <cfvo type="percentile" val="50"/>
        <cfvo type="max"/>
        <color rgb="FF63BE7B"/>
        <color rgb="FFFFEB84"/>
        <color rgb="FFF8696B"/>
      </colorScale>
    </cfRule>
  </conditionalFormatting>
  <conditionalFormatting sqref="C6">
    <cfRule type="colorScale" priority="16">
      <colorScale>
        <cfvo type="min"/>
        <cfvo type="percentile" val="50"/>
        <cfvo type="max"/>
        <color rgb="FF63BE7B"/>
        <color rgb="FFFFEB84"/>
        <color rgb="FFF8696B"/>
      </colorScale>
    </cfRule>
  </conditionalFormatting>
  <conditionalFormatting sqref="C7">
    <cfRule type="colorScale" priority="15">
      <colorScale>
        <cfvo type="min"/>
        <cfvo type="percentile" val="50"/>
        <cfvo type="max"/>
        <color rgb="FF63BE7B"/>
        <color rgb="FFFFEB84"/>
        <color rgb="FFF8696B"/>
      </colorScale>
    </cfRule>
  </conditionalFormatting>
  <conditionalFormatting sqref="C8">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uniqueValues" dxfId="5" priority="13"/>
    <cfRule type="uniqueValues" dxfId="4" priority="14"/>
  </conditionalFormatting>
  <conditionalFormatting sqref="C9">
    <cfRule type="colorScale" priority="20">
      <colorScale>
        <cfvo type="min"/>
        <cfvo type="percentile" val="50"/>
        <cfvo type="max"/>
        <color rgb="FF63BE7B"/>
        <color rgb="FFFFEB84"/>
        <color rgb="FFF8696B"/>
      </colorScale>
    </cfRule>
    <cfRule type="uniqueValues" dxfId="3" priority="21"/>
    <cfRule type="uniqueValues" dxfId="2" priority="22"/>
  </conditionalFormatting>
  <conditionalFormatting sqref="C10:C18">
    <cfRule type="colorScale" priority="24">
      <colorScale>
        <cfvo type="min"/>
        <cfvo type="percentile" val="50"/>
        <cfvo type="max"/>
        <color rgb="FF63BE7B"/>
        <color rgb="FFFFEB84"/>
        <color rgb="FFF8696B"/>
      </colorScale>
    </cfRule>
    <cfRule type="uniqueValues" dxfId="1" priority="25"/>
    <cfRule type="uniqueValues" dxfId="0" priority="26"/>
  </conditionalFormatting>
  <conditionalFormatting sqref="D2:D18">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onditionalFormatting>
  <conditionalFormatting sqref="D3">
    <cfRule type="colorScale" priority="5">
      <colorScale>
        <cfvo type="min"/>
        <cfvo type="percentile" val="50"/>
        <cfvo type="max"/>
        <color rgb="FF63BE7B"/>
        <color rgb="FFFFEB84"/>
        <color rgb="FFF8696B"/>
      </colorScale>
    </cfRule>
  </conditionalFormatting>
  <conditionalFormatting sqref="D4:D18">
    <cfRule type="colorScale" priority="9">
      <colorScale>
        <cfvo type="min"/>
        <cfvo type="percentile" val="50"/>
        <cfvo type="max"/>
        <color rgb="FF63BE7B"/>
        <color rgb="FFFFEB84"/>
        <color rgb="FFF8696B"/>
      </colorScale>
    </cfRule>
  </conditionalFormatting>
  <conditionalFormatting sqref="E2:E18">
    <cfRule type="colorScale" priority="1">
      <colorScale>
        <cfvo type="min"/>
        <cfvo type="max"/>
        <color rgb="FFFCFCFF"/>
        <color rgb="FF63BE7B"/>
      </colorScale>
    </cfRule>
    <cfRule type="colorScale" priority="2">
      <colorScale>
        <cfvo type="num" val="0"/>
        <cfvo type="percentile" val="50"/>
        <cfvo type="num" val="25"/>
        <color theme="9" tint="-0.249977111117893"/>
        <color theme="9" tint="0.39997558519241921"/>
        <color theme="9" tint="0.59999389629810485"/>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DC45-6401-489B-B86B-A8B681362185}">
  <dimension ref="A1:O19"/>
  <sheetViews>
    <sheetView zoomScale="90" zoomScaleNormal="90" workbookViewId="0">
      <selection activeCell="K7" sqref="K7"/>
    </sheetView>
  </sheetViews>
  <sheetFormatPr defaultColWidth="10.25" defaultRowHeight="15" x14ac:dyDescent="0.25"/>
  <cols>
    <col min="1" max="1" width="10.25" style="330"/>
    <col min="2" max="2" width="10.25" style="330" customWidth="1"/>
    <col min="3" max="16384" width="10.25" style="330"/>
  </cols>
  <sheetData>
    <row r="1" spans="1:15" x14ac:dyDescent="0.25">
      <c r="A1" s="454" t="s">
        <v>1776</v>
      </c>
      <c r="B1" s="454"/>
      <c r="C1" s="454"/>
      <c r="D1" s="454"/>
      <c r="E1" s="454"/>
      <c r="F1" s="454"/>
      <c r="G1" s="454"/>
      <c r="H1" s="454"/>
      <c r="I1" s="454"/>
      <c r="J1" s="454"/>
      <c r="K1" s="454"/>
      <c r="L1" s="454"/>
      <c r="M1" s="454"/>
      <c r="N1" s="454"/>
      <c r="O1" s="454"/>
    </row>
    <row r="2" spans="1:15" ht="27" customHeight="1" x14ac:dyDescent="0.25">
      <c r="A2" s="454"/>
      <c r="B2" s="454"/>
      <c r="C2" s="454"/>
      <c r="D2" s="454"/>
      <c r="E2" s="454"/>
      <c r="F2" s="454"/>
      <c r="G2" s="454"/>
      <c r="H2" s="454"/>
      <c r="I2" s="454"/>
      <c r="J2" s="454"/>
      <c r="K2" s="454"/>
      <c r="L2" s="454"/>
      <c r="M2" s="454"/>
      <c r="N2" s="454"/>
      <c r="O2" s="454"/>
    </row>
    <row r="4" spans="1:15" ht="15.75" thickBot="1" x14ac:dyDescent="0.3"/>
    <row r="5" spans="1:15" ht="24" customHeight="1" thickBot="1" x14ac:dyDescent="0.3">
      <c r="B5" s="455" t="s">
        <v>1712</v>
      </c>
      <c r="C5" s="456"/>
      <c r="D5" s="459" t="s">
        <v>1713</v>
      </c>
      <c r="E5" s="460"/>
      <c r="F5" s="460"/>
      <c r="G5" s="460"/>
      <c r="H5" s="461"/>
    </row>
    <row r="6" spans="1:15" ht="28.9" customHeight="1" thickBot="1" x14ac:dyDescent="0.3">
      <c r="B6" s="457"/>
      <c r="C6" s="458"/>
      <c r="D6" s="331" t="s">
        <v>1714</v>
      </c>
      <c r="E6" s="331" t="s">
        <v>1715</v>
      </c>
      <c r="F6" s="331" t="s">
        <v>1572</v>
      </c>
      <c r="G6" s="331" t="s">
        <v>1716</v>
      </c>
      <c r="H6" s="331" t="s">
        <v>1717</v>
      </c>
    </row>
    <row r="7" spans="1:15" s="332" customFormat="1" ht="30" customHeight="1" thickBot="1" x14ac:dyDescent="0.25">
      <c r="B7" s="462" t="s">
        <v>1718</v>
      </c>
      <c r="C7" s="331" t="s">
        <v>1719</v>
      </c>
      <c r="D7" s="333">
        <v>5</v>
      </c>
      <c r="E7" s="333">
        <v>10</v>
      </c>
      <c r="F7" s="333">
        <v>15</v>
      </c>
      <c r="G7" s="333">
        <v>20</v>
      </c>
      <c r="H7" s="333">
        <v>25</v>
      </c>
    </row>
    <row r="8" spans="1:15" s="332" customFormat="1" ht="30" customHeight="1" thickBot="1" x14ac:dyDescent="0.25">
      <c r="B8" s="463"/>
      <c r="C8" s="331" t="s">
        <v>1720</v>
      </c>
      <c r="D8" s="333">
        <v>4</v>
      </c>
      <c r="E8" s="333">
        <v>8</v>
      </c>
      <c r="F8" s="333">
        <v>12</v>
      </c>
      <c r="G8" s="333">
        <v>16</v>
      </c>
      <c r="H8" s="333">
        <v>20</v>
      </c>
    </row>
    <row r="9" spans="1:15" s="332" customFormat="1" ht="30" customHeight="1" thickBot="1" x14ac:dyDescent="0.25">
      <c r="B9" s="463"/>
      <c r="C9" s="331" t="s">
        <v>1721</v>
      </c>
      <c r="D9" s="333">
        <v>3</v>
      </c>
      <c r="E9" s="333">
        <v>6</v>
      </c>
      <c r="F9" s="333">
        <v>9</v>
      </c>
      <c r="G9" s="333">
        <v>12</v>
      </c>
      <c r="H9" s="333">
        <v>15</v>
      </c>
    </row>
    <row r="10" spans="1:15" s="332" customFormat="1" ht="30" customHeight="1" thickBot="1" x14ac:dyDescent="0.25">
      <c r="B10" s="463"/>
      <c r="C10" s="331" t="s">
        <v>1722</v>
      </c>
      <c r="D10" s="333">
        <v>2</v>
      </c>
      <c r="E10" s="333">
        <v>4</v>
      </c>
      <c r="F10" s="333">
        <v>6</v>
      </c>
      <c r="G10" s="333">
        <v>8</v>
      </c>
      <c r="H10" s="333">
        <v>10</v>
      </c>
    </row>
    <row r="11" spans="1:15" s="332" customFormat="1" ht="30" customHeight="1" thickBot="1" x14ac:dyDescent="0.25">
      <c r="B11" s="464"/>
      <c r="C11" s="331" t="s">
        <v>1723</v>
      </c>
      <c r="D11" s="333">
        <v>1</v>
      </c>
      <c r="E11" s="333">
        <v>2</v>
      </c>
      <c r="F11" s="333">
        <v>3</v>
      </c>
      <c r="G11" s="333">
        <v>4</v>
      </c>
      <c r="H11" s="333">
        <v>5</v>
      </c>
    </row>
    <row r="13" spans="1:15" ht="34.9" customHeight="1" x14ac:dyDescent="0.25">
      <c r="B13" s="337" t="s">
        <v>1724</v>
      </c>
      <c r="C13" s="337" t="s">
        <v>1725</v>
      </c>
      <c r="D13" s="465" t="s">
        <v>1726</v>
      </c>
      <c r="E13" s="466"/>
      <c r="F13" s="466"/>
      <c r="G13" s="466"/>
      <c r="H13" s="467"/>
    </row>
    <row r="14" spans="1:15" ht="75" customHeight="1" x14ac:dyDescent="0.25">
      <c r="B14" s="334" t="s">
        <v>1717</v>
      </c>
      <c r="C14" s="335" t="s">
        <v>1727</v>
      </c>
      <c r="D14" s="451" t="s">
        <v>1728</v>
      </c>
      <c r="E14" s="452"/>
      <c r="F14" s="452"/>
      <c r="G14" s="452"/>
      <c r="H14" s="453"/>
    </row>
    <row r="15" spans="1:15" ht="78.400000000000006" customHeight="1" x14ac:dyDescent="0.25">
      <c r="B15" s="334" t="s">
        <v>1716</v>
      </c>
      <c r="C15" s="336" t="s">
        <v>1729</v>
      </c>
      <c r="D15" s="451" t="s">
        <v>1730</v>
      </c>
      <c r="E15" s="452"/>
      <c r="F15" s="452"/>
      <c r="G15" s="452"/>
      <c r="H15" s="453"/>
    </row>
    <row r="16" spans="1:15" ht="61.5" customHeight="1" x14ac:dyDescent="0.25">
      <c r="B16" s="334" t="s">
        <v>1731</v>
      </c>
      <c r="C16" s="335" t="s">
        <v>1732</v>
      </c>
      <c r="D16" s="451" t="s">
        <v>1733</v>
      </c>
      <c r="E16" s="452"/>
      <c r="F16" s="452"/>
      <c r="G16" s="452"/>
      <c r="H16" s="453"/>
    </row>
    <row r="17" spans="2:8" ht="43.9" customHeight="1" x14ac:dyDescent="0.25">
      <c r="B17" s="334" t="s">
        <v>1715</v>
      </c>
      <c r="C17" s="335" t="s">
        <v>1734</v>
      </c>
      <c r="D17" s="451" t="s">
        <v>1735</v>
      </c>
      <c r="E17" s="452"/>
      <c r="F17" s="452"/>
      <c r="G17" s="452"/>
      <c r="H17" s="453"/>
    </row>
    <row r="18" spans="2:8" ht="41.65" customHeight="1" x14ac:dyDescent="0.25">
      <c r="B18" s="334" t="s">
        <v>1714</v>
      </c>
      <c r="C18" s="335" t="s">
        <v>1736</v>
      </c>
      <c r="D18" s="451" t="s">
        <v>1737</v>
      </c>
      <c r="E18" s="452"/>
      <c r="F18" s="452"/>
      <c r="G18" s="452"/>
      <c r="H18" s="453"/>
    </row>
    <row r="19" spans="2:8" ht="48" customHeight="1" x14ac:dyDescent="0.25"/>
  </sheetData>
  <mergeCells count="10">
    <mergeCell ref="D15:H15"/>
    <mergeCell ref="D16:H16"/>
    <mergeCell ref="D17:H17"/>
    <mergeCell ref="D18:H18"/>
    <mergeCell ref="A1:O2"/>
    <mergeCell ref="B5:C6"/>
    <mergeCell ref="D5:H5"/>
    <mergeCell ref="B7:B11"/>
    <mergeCell ref="D13:H13"/>
    <mergeCell ref="D14:H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31CE-2A6C-4249-8152-8B0F89365DA0}">
  <sheetPr>
    <pageSetUpPr fitToPage="1"/>
  </sheetPr>
  <dimension ref="A1:Q31"/>
  <sheetViews>
    <sheetView zoomScale="90" zoomScaleNormal="90" workbookViewId="0">
      <selection activeCell="D21" sqref="D21"/>
    </sheetView>
  </sheetViews>
  <sheetFormatPr defaultColWidth="10.25" defaultRowHeight="15" x14ac:dyDescent="0.25"/>
  <cols>
    <col min="1" max="3" width="10.25" style="330"/>
    <col min="4" max="4" width="53.25" style="330" customWidth="1"/>
    <col min="5" max="5" width="10.25" style="330"/>
    <col min="6" max="6" width="12.75" style="330" customWidth="1"/>
    <col min="7" max="7" width="10.25" style="330"/>
    <col min="8" max="8" width="47" style="330" customWidth="1"/>
    <col min="9" max="16384" width="10.25" style="330"/>
  </cols>
  <sheetData>
    <row r="1" spans="1:16" ht="53.1" customHeight="1" x14ac:dyDescent="0.25">
      <c r="A1" s="338" t="s">
        <v>1775</v>
      </c>
      <c r="B1" s="338"/>
      <c r="C1" s="338"/>
      <c r="D1" s="338"/>
      <c r="E1" s="338"/>
      <c r="F1" s="338"/>
      <c r="G1" s="338"/>
      <c r="H1" s="338"/>
      <c r="I1" s="342"/>
      <c r="J1" s="342"/>
      <c r="K1" s="342"/>
      <c r="L1" s="342"/>
      <c r="M1" s="342"/>
      <c r="N1" s="342"/>
      <c r="O1" s="342"/>
      <c r="P1" s="342"/>
    </row>
    <row r="3" spans="1:16" ht="33.4" customHeight="1" x14ac:dyDescent="0.25">
      <c r="B3" s="468" t="s">
        <v>1718</v>
      </c>
      <c r="C3" s="334" t="s">
        <v>1719</v>
      </c>
      <c r="D3" s="339" t="s">
        <v>1738</v>
      </c>
      <c r="F3" s="468" t="s">
        <v>1739</v>
      </c>
      <c r="G3" s="334" t="s">
        <v>1717</v>
      </c>
      <c r="H3" s="339" t="s">
        <v>1740</v>
      </c>
    </row>
    <row r="4" spans="1:16" ht="30" x14ac:dyDescent="0.25">
      <c r="B4" s="469"/>
      <c r="C4" s="334" t="s">
        <v>1721</v>
      </c>
      <c r="D4" s="339" t="s">
        <v>1741</v>
      </c>
      <c r="F4" s="469"/>
      <c r="G4" s="334" t="s">
        <v>1716</v>
      </c>
      <c r="H4" s="339" t="s">
        <v>1742</v>
      </c>
    </row>
    <row r="5" spans="1:16" ht="30" x14ac:dyDescent="0.25">
      <c r="B5" s="469"/>
      <c r="C5" s="334" t="s">
        <v>1743</v>
      </c>
      <c r="D5" s="339" t="s">
        <v>1744</v>
      </c>
      <c r="F5" s="469"/>
      <c r="G5" s="334" t="s">
        <v>1572</v>
      </c>
      <c r="H5" s="339" t="s">
        <v>1745</v>
      </c>
    </row>
    <row r="6" spans="1:16" ht="30" x14ac:dyDescent="0.25">
      <c r="B6" s="469"/>
      <c r="C6" s="334" t="s">
        <v>1746</v>
      </c>
      <c r="D6" s="339" t="s">
        <v>1747</v>
      </c>
      <c r="F6" s="469"/>
      <c r="G6" s="334" t="s">
        <v>1715</v>
      </c>
      <c r="H6" s="339" t="s">
        <v>1748</v>
      </c>
    </row>
    <row r="7" spans="1:16" ht="33.4" customHeight="1" x14ac:dyDescent="0.25">
      <c r="B7" s="470"/>
      <c r="C7" s="334" t="s">
        <v>1723</v>
      </c>
      <c r="D7" s="339" t="s">
        <v>1749</v>
      </c>
      <c r="F7" s="470"/>
      <c r="G7" s="334" t="s">
        <v>1714</v>
      </c>
      <c r="H7" s="339" t="s">
        <v>1750</v>
      </c>
    </row>
    <row r="9" spans="1:16" ht="30" x14ac:dyDescent="0.25">
      <c r="F9" s="468" t="s">
        <v>1751</v>
      </c>
      <c r="G9" s="334" t="s">
        <v>1717</v>
      </c>
      <c r="H9" s="339" t="s">
        <v>1752</v>
      </c>
    </row>
    <row r="10" spans="1:16" ht="45" x14ac:dyDescent="0.25">
      <c r="F10" s="469"/>
      <c r="G10" s="334" t="s">
        <v>1716</v>
      </c>
      <c r="H10" s="339" t="s">
        <v>1753</v>
      </c>
    </row>
    <row r="11" spans="1:16" ht="60" x14ac:dyDescent="0.25">
      <c r="F11" s="469"/>
      <c r="G11" s="334" t="s">
        <v>1572</v>
      </c>
      <c r="H11" s="339" t="s">
        <v>1754</v>
      </c>
    </row>
    <row r="12" spans="1:16" ht="30" x14ac:dyDescent="0.25">
      <c r="F12" s="469"/>
      <c r="G12" s="334" t="s">
        <v>1715</v>
      </c>
      <c r="H12" s="339" t="s">
        <v>1755</v>
      </c>
    </row>
    <row r="13" spans="1:16" ht="30" x14ac:dyDescent="0.25">
      <c r="F13" s="470"/>
      <c r="G13" s="334" t="s">
        <v>1714</v>
      </c>
      <c r="H13" s="339" t="s">
        <v>1756</v>
      </c>
    </row>
    <row r="15" spans="1:16" ht="60" x14ac:dyDescent="0.25">
      <c r="F15" s="468" t="s">
        <v>1757</v>
      </c>
      <c r="G15" s="334" t="s">
        <v>1717</v>
      </c>
      <c r="H15" s="339" t="s">
        <v>1758</v>
      </c>
    </row>
    <row r="16" spans="1:16" ht="30" x14ac:dyDescent="0.25">
      <c r="F16" s="469"/>
      <c r="G16" s="334" t="s">
        <v>1716</v>
      </c>
      <c r="H16" s="339" t="s">
        <v>1759</v>
      </c>
    </row>
    <row r="17" spans="6:17" ht="30" x14ac:dyDescent="0.25">
      <c r="F17" s="469"/>
      <c r="G17" s="334" t="s">
        <v>1572</v>
      </c>
      <c r="H17" s="339" t="s">
        <v>1760</v>
      </c>
    </row>
    <row r="18" spans="6:17" ht="45" x14ac:dyDescent="0.25">
      <c r="F18" s="469"/>
      <c r="G18" s="334" t="s">
        <v>1715</v>
      </c>
      <c r="H18" s="339" t="s">
        <v>1761</v>
      </c>
    </row>
    <row r="19" spans="6:17" ht="30" x14ac:dyDescent="0.25">
      <c r="F19" s="470"/>
      <c r="G19" s="334" t="s">
        <v>1714</v>
      </c>
      <c r="H19" s="339" t="s">
        <v>1762</v>
      </c>
    </row>
    <row r="21" spans="6:17" ht="45" x14ac:dyDescent="0.25">
      <c r="F21" s="468" t="s">
        <v>1763</v>
      </c>
      <c r="G21" s="334" t="s">
        <v>1717</v>
      </c>
      <c r="H21" s="339" t="s">
        <v>1764</v>
      </c>
    </row>
    <row r="22" spans="6:17" ht="60" x14ac:dyDescent="0.25">
      <c r="F22" s="469"/>
      <c r="G22" s="334" t="s">
        <v>1716</v>
      </c>
      <c r="H22" s="339" t="s">
        <v>1765</v>
      </c>
    </row>
    <row r="23" spans="6:17" ht="45" x14ac:dyDescent="0.25">
      <c r="F23" s="469"/>
      <c r="G23" s="334" t="s">
        <v>1572</v>
      </c>
      <c r="H23" s="339" t="s">
        <v>1766</v>
      </c>
    </row>
    <row r="24" spans="6:17" ht="45" x14ac:dyDescent="0.25">
      <c r="F24" s="469"/>
      <c r="G24" s="334" t="s">
        <v>1715</v>
      </c>
      <c r="H24" s="339" t="s">
        <v>1767</v>
      </c>
    </row>
    <row r="25" spans="6:17" ht="45" x14ac:dyDescent="0.25">
      <c r="F25" s="470"/>
      <c r="G25" s="334" t="s">
        <v>1714</v>
      </c>
      <c r="H25" s="339" t="s">
        <v>1768</v>
      </c>
      <c r="Q25" s="340"/>
    </row>
    <row r="27" spans="6:17" ht="46.5" customHeight="1" x14ac:dyDescent="0.25">
      <c r="F27" s="468" t="s">
        <v>1769</v>
      </c>
      <c r="G27" s="334" t="s">
        <v>1717</v>
      </c>
      <c r="H27" s="339" t="s">
        <v>1770</v>
      </c>
    </row>
    <row r="28" spans="6:17" ht="45.4" customHeight="1" x14ac:dyDescent="0.25">
      <c r="F28" s="469"/>
      <c r="G28" s="334" t="s">
        <v>1716</v>
      </c>
      <c r="H28" s="339" t="s">
        <v>1771</v>
      </c>
    </row>
    <row r="29" spans="6:17" ht="30" x14ac:dyDescent="0.25">
      <c r="F29" s="469"/>
      <c r="G29" s="334" t="s">
        <v>1572</v>
      </c>
      <c r="H29" s="339" t="s">
        <v>1772</v>
      </c>
    </row>
    <row r="30" spans="6:17" ht="31.15" customHeight="1" x14ac:dyDescent="0.25">
      <c r="F30" s="469"/>
      <c r="G30" s="334" t="s">
        <v>1715</v>
      </c>
      <c r="H30" s="339" t="s">
        <v>1773</v>
      </c>
    </row>
    <row r="31" spans="6:17" ht="19.899999999999999" customHeight="1" x14ac:dyDescent="0.25">
      <c r="F31" s="470"/>
      <c r="G31" s="334" t="s">
        <v>1714</v>
      </c>
      <c r="H31" s="339" t="s">
        <v>1774</v>
      </c>
    </row>
  </sheetData>
  <mergeCells count="6">
    <mergeCell ref="F27:F31"/>
    <mergeCell ref="B3:B7"/>
    <mergeCell ref="F3:F7"/>
    <mergeCell ref="F9:F13"/>
    <mergeCell ref="F15:F19"/>
    <mergeCell ref="F21:F25"/>
  </mergeCells>
  <pageMargins left="0.7" right="0.7" top="0.75" bottom="0.75" header="0.3" footer="0.3"/>
  <pageSetup paperSize="9" scale="51" orientation="landscape" copies="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2104-2B27-441D-BF4F-C2C6CDB47028}">
  <sheetPr>
    <tabColor rgb="FF0070C0"/>
  </sheetPr>
  <dimension ref="A1:S12"/>
  <sheetViews>
    <sheetView zoomScale="40" zoomScaleNormal="40" workbookViewId="0">
      <selection activeCell="U4" sqref="U4"/>
    </sheetView>
  </sheetViews>
  <sheetFormatPr defaultColWidth="8.75" defaultRowHeight="14.25" x14ac:dyDescent="0.2"/>
  <cols>
    <col min="1" max="1" width="8.75" style="170"/>
    <col min="2" max="2" width="28.25" style="170" customWidth="1"/>
    <col min="3" max="3" width="23.875" style="170" customWidth="1"/>
    <col min="4" max="4" width="22.25" style="170" customWidth="1"/>
    <col min="5" max="8" width="19.25" style="170" customWidth="1"/>
    <col min="9" max="9" width="7.25" style="182" customWidth="1"/>
    <col min="10" max="15" width="8.75" style="170"/>
    <col min="16" max="16" width="5.625" style="170" customWidth="1"/>
    <col min="17" max="18" width="8.75" style="170"/>
    <col min="19" max="19" width="7.25" style="170" customWidth="1"/>
    <col min="20" max="16384" width="8.75" style="170"/>
  </cols>
  <sheetData>
    <row r="1" spans="1:19" ht="60" customHeight="1" thickBot="1" x14ac:dyDescent="0.25">
      <c r="A1" s="213" t="s">
        <v>1859</v>
      </c>
      <c r="B1" s="214" t="s">
        <v>707</v>
      </c>
      <c r="C1" s="215" t="s">
        <v>1860</v>
      </c>
      <c r="D1" s="216" t="s">
        <v>698</v>
      </c>
      <c r="E1" s="216" t="s">
        <v>699</v>
      </c>
      <c r="F1" s="216" t="s">
        <v>12</v>
      </c>
      <c r="G1" s="217" t="s">
        <v>13</v>
      </c>
      <c r="H1" s="218" t="s">
        <v>703</v>
      </c>
      <c r="I1" s="169"/>
      <c r="J1" s="471" t="s">
        <v>708</v>
      </c>
      <c r="K1" s="471"/>
      <c r="L1" s="471"/>
      <c r="M1" s="471"/>
      <c r="N1" s="471"/>
      <c r="O1" s="471"/>
      <c r="P1" s="471"/>
      <c r="Q1" s="471"/>
      <c r="R1" s="471"/>
      <c r="S1" s="471"/>
    </row>
    <row r="2" spans="1:19" ht="75" customHeight="1" x14ac:dyDescent="0.2">
      <c r="A2" s="209">
        <v>1</v>
      </c>
      <c r="B2" s="210" t="s">
        <v>104</v>
      </c>
      <c r="C2" s="211" t="s">
        <v>533</v>
      </c>
      <c r="D2" s="212">
        <f>'Subcategory Summary'!G17</f>
        <v>3</v>
      </c>
      <c r="E2" s="212">
        <f>'Subcategory Summary'!H17</f>
        <v>4.5</v>
      </c>
      <c r="F2" s="212">
        <f>'Subcategory Summary'!I17</f>
        <v>3</v>
      </c>
      <c r="G2" s="212">
        <f>'Subcategory Summary'!J17</f>
        <v>-1.5</v>
      </c>
      <c r="H2" s="208">
        <f>E2-D2</f>
        <v>1.5</v>
      </c>
      <c r="I2" s="171"/>
    </row>
    <row r="3" spans="1:19" ht="75" customHeight="1" x14ac:dyDescent="0.2">
      <c r="A3" s="172">
        <v>2</v>
      </c>
      <c r="B3" s="173" t="s">
        <v>709</v>
      </c>
      <c r="C3" s="174" t="s">
        <v>543</v>
      </c>
      <c r="D3" s="175">
        <f>'Subcategory Summary'!G28</f>
        <v>4.666666666666667</v>
      </c>
      <c r="E3" s="175">
        <f>'Subcategory Summary'!H28</f>
        <v>4.666666666666667</v>
      </c>
      <c r="F3" s="175">
        <f>'Subcategory Summary'!I28</f>
        <v>3</v>
      </c>
      <c r="G3" s="175">
        <f>'Subcategory Summary'!J28</f>
        <v>-1.6666666666666667</v>
      </c>
      <c r="H3" s="176">
        <f t="shared" ref="H3:H12" si="0">E3-D3</f>
        <v>0</v>
      </c>
      <c r="I3" s="171"/>
    </row>
    <row r="4" spans="1:19" ht="75" customHeight="1" x14ac:dyDescent="0.2">
      <c r="A4" s="172">
        <v>2.1</v>
      </c>
      <c r="B4" s="173" t="s">
        <v>267</v>
      </c>
      <c r="C4" s="174" t="s">
        <v>571</v>
      </c>
      <c r="D4" s="175">
        <f>'Subcategory Summary'!G56</f>
        <v>2</v>
      </c>
      <c r="E4" s="175">
        <f>'Subcategory Summary'!H56</f>
        <v>2</v>
      </c>
      <c r="F4" s="175">
        <f>'Subcategory Summary'!I56</f>
        <v>3</v>
      </c>
      <c r="G4" s="175">
        <f>'Subcategory Summary'!J56</f>
        <v>1</v>
      </c>
      <c r="H4" s="176">
        <f t="shared" si="0"/>
        <v>0</v>
      </c>
      <c r="I4" s="171"/>
    </row>
    <row r="5" spans="1:19" ht="75" customHeight="1" x14ac:dyDescent="0.2">
      <c r="A5" s="172">
        <v>3</v>
      </c>
      <c r="B5" s="173" t="s">
        <v>710</v>
      </c>
      <c r="C5" s="184" t="s">
        <v>580</v>
      </c>
      <c r="D5" s="175">
        <f>'Subcategory Summary'!G68</f>
        <v>5</v>
      </c>
      <c r="E5" s="175">
        <f>'Subcategory Summary'!H68</f>
        <v>5</v>
      </c>
      <c r="F5" s="175">
        <f>'Subcategory Summary'!I68</f>
        <v>3</v>
      </c>
      <c r="G5" s="175">
        <f>'Subcategory Summary'!J68</f>
        <v>-2</v>
      </c>
      <c r="H5" s="176">
        <f t="shared" si="0"/>
        <v>0</v>
      </c>
      <c r="I5" s="171"/>
    </row>
    <row r="6" spans="1:19" ht="75" customHeight="1" x14ac:dyDescent="0.2">
      <c r="A6" s="172">
        <v>4</v>
      </c>
      <c r="B6" s="173" t="s">
        <v>711</v>
      </c>
      <c r="C6" s="174" t="s">
        <v>563</v>
      </c>
      <c r="D6" s="175">
        <f>'Subcategory Summary'!G52</f>
        <v>3.25</v>
      </c>
      <c r="E6" s="175">
        <f>'Subcategory Summary'!H52</f>
        <v>3.25</v>
      </c>
      <c r="F6" s="175">
        <f>'Subcategory Summary'!I52</f>
        <v>3</v>
      </c>
      <c r="G6" s="175">
        <f>'Subcategory Summary'!J52</f>
        <v>-0.25</v>
      </c>
      <c r="H6" s="176">
        <f t="shared" si="0"/>
        <v>0</v>
      </c>
      <c r="I6" s="171"/>
    </row>
    <row r="7" spans="1:19" ht="75" customHeight="1" x14ac:dyDescent="0.2">
      <c r="A7" s="172">
        <v>5</v>
      </c>
      <c r="B7" s="173" t="s">
        <v>712</v>
      </c>
      <c r="C7" s="174" t="s">
        <v>558</v>
      </c>
      <c r="D7" s="175">
        <f>'Subcategory Summary'!G40</f>
        <v>2</v>
      </c>
      <c r="E7" s="175">
        <f>'Subcategory Summary'!H40</f>
        <v>2</v>
      </c>
      <c r="F7" s="175">
        <f>'Subcategory Summary'!I40</f>
        <v>3</v>
      </c>
      <c r="G7" s="175">
        <f>'Subcategory Summary'!J40</f>
        <v>1</v>
      </c>
      <c r="H7" s="176">
        <f t="shared" si="0"/>
        <v>0</v>
      </c>
      <c r="I7" s="171"/>
    </row>
    <row r="8" spans="1:19" ht="75" customHeight="1" x14ac:dyDescent="0.2">
      <c r="A8" s="172">
        <v>6</v>
      </c>
      <c r="B8" s="173" t="s">
        <v>463</v>
      </c>
      <c r="C8" s="174" t="s">
        <v>610</v>
      </c>
      <c r="D8" s="175">
        <f>'Subcategory Summary'!G106</f>
        <v>0.5</v>
      </c>
      <c r="E8" s="175">
        <f>'Subcategory Summary'!H106</f>
        <v>2.5</v>
      </c>
      <c r="F8" s="175">
        <f>'Subcategory Summary'!I106</f>
        <v>3</v>
      </c>
      <c r="G8" s="175">
        <f>'Subcategory Summary'!J106</f>
        <v>0.5</v>
      </c>
      <c r="H8" s="176">
        <f t="shared" si="0"/>
        <v>2</v>
      </c>
      <c r="I8" s="171"/>
    </row>
    <row r="9" spans="1:19" ht="75" customHeight="1" x14ac:dyDescent="0.2">
      <c r="A9" s="172">
        <v>7</v>
      </c>
      <c r="B9" s="173" t="s">
        <v>713</v>
      </c>
      <c r="C9" s="174" t="s">
        <v>585</v>
      </c>
      <c r="D9" s="175">
        <f>'Subcategory Summary'!G74</f>
        <v>5</v>
      </c>
      <c r="E9" s="175">
        <f>'Subcategory Summary'!H74</f>
        <v>5</v>
      </c>
      <c r="F9" s="175">
        <f>'Subcategory Summary'!I74</f>
        <v>3</v>
      </c>
      <c r="G9" s="175">
        <f>'Subcategory Summary'!J74</f>
        <v>-2</v>
      </c>
      <c r="H9" s="176">
        <f t="shared" si="0"/>
        <v>0</v>
      </c>
      <c r="I9" s="171"/>
    </row>
    <row r="10" spans="1:19" ht="75" customHeight="1" x14ac:dyDescent="0.2">
      <c r="A10" s="172">
        <v>8</v>
      </c>
      <c r="B10" s="173" t="s">
        <v>714</v>
      </c>
      <c r="C10" s="174" t="s">
        <v>593</v>
      </c>
      <c r="D10" s="175">
        <f>'Subcategory Summary'!G82</f>
        <v>1</v>
      </c>
      <c r="E10" s="175">
        <f>'Subcategory Summary'!H82</f>
        <v>1</v>
      </c>
      <c r="F10" s="175">
        <f>'Subcategory Summary'!I82</f>
        <v>3</v>
      </c>
      <c r="G10" s="175">
        <f>'Subcategory Summary'!J82</f>
        <v>2</v>
      </c>
      <c r="H10" s="176">
        <f t="shared" si="0"/>
        <v>0</v>
      </c>
      <c r="I10" s="171"/>
    </row>
    <row r="11" spans="1:19" ht="75" customHeight="1" x14ac:dyDescent="0.2">
      <c r="A11" s="172">
        <v>9</v>
      </c>
      <c r="B11" s="173" t="s">
        <v>715</v>
      </c>
      <c r="C11" s="174" t="s">
        <v>570</v>
      </c>
      <c r="D11" s="175">
        <f>'Subcategory Summary'!G55</f>
        <v>2</v>
      </c>
      <c r="E11" s="175">
        <f>'Subcategory Summary'!H55</f>
        <v>2</v>
      </c>
      <c r="F11" s="175">
        <f>'Subcategory Summary'!I55</f>
        <v>3</v>
      </c>
      <c r="G11" s="175">
        <f>'Subcategory Summary'!J55</f>
        <v>1</v>
      </c>
      <c r="H11" s="176">
        <f t="shared" si="0"/>
        <v>0</v>
      </c>
      <c r="I11" s="171"/>
    </row>
    <row r="12" spans="1:19" ht="75" customHeight="1" thickBot="1" x14ac:dyDescent="0.25">
      <c r="A12" s="177">
        <v>10</v>
      </c>
      <c r="B12" s="178" t="s">
        <v>716</v>
      </c>
      <c r="C12" s="179" t="s">
        <v>560</v>
      </c>
      <c r="D12" s="180">
        <f>'Subcategory Summary'!G42</f>
        <v>4</v>
      </c>
      <c r="E12" s="180">
        <f>'Subcategory Summary'!H42</f>
        <v>5</v>
      </c>
      <c r="F12" s="180">
        <f>'Subcategory Summary'!I42</f>
        <v>3</v>
      </c>
      <c r="G12" s="180">
        <f>'Subcategory Summary'!J42</f>
        <v>-2</v>
      </c>
      <c r="H12" s="181">
        <f t="shared" si="0"/>
        <v>1</v>
      </c>
      <c r="I12" s="171"/>
    </row>
  </sheetData>
  <mergeCells count="1">
    <mergeCell ref="J1:S1"/>
  </mergeCells>
  <conditionalFormatting sqref="D2:F12">
    <cfRule type="colorScale" priority="3">
      <colorScale>
        <cfvo type="min"/>
        <cfvo type="percentile" val="50"/>
        <cfvo type="max"/>
        <color rgb="FFF8696B"/>
        <color rgb="FFFFEB84"/>
        <color rgb="FF63BE7B"/>
      </colorScale>
    </cfRule>
  </conditionalFormatting>
  <conditionalFormatting sqref="D2:G12">
    <cfRule type="colorScale" priority="4">
      <colorScale>
        <cfvo type="min"/>
        <cfvo type="percentile" val="50"/>
        <cfvo type="max"/>
        <color rgb="FFF8696B"/>
        <color rgb="FFFFEB84"/>
        <color rgb="FF63BE7B"/>
      </colorScale>
    </cfRule>
  </conditionalFormatting>
  <conditionalFormatting sqref="G2:G12">
    <cfRule type="colorScale" priority="2">
      <colorScale>
        <cfvo type="min"/>
        <cfvo type="percentile" val="50"/>
        <cfvo type="max"/>
        <color rgb="FF63BE7B"/>
        <color rgb="FFFFEB84"/>
        <color rgb="FFF8696B"/>
      </colorScale>
    </cfRule>
  </conditionalFormatting>
  <conditionalFormatting sqref="H2:H12">
    <cfRule type="colorScale" priority="1">
      <colorScale>
        <cfvo type="min"/>
        <cfvo type="max"/>
        <color rgb="FFFCFCFF"/>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S214"/>
  <sheetViews>
    <sheetView showGridLines="0" topLeftCell="C1" zoomScale="55" zoomScaleNormal="55" zoomScaleSheetLayoutView="33" workbookViewId="0">
      <selection activeCell="G213" sqref="G213"/>
    </sheetView>
  </sheetViews>
  <sheetFormatPr defaultColWidth="2.75" defaultRowHeight="30" customHeight="1" x14ac:dyDescent="0.2"/>
  <cols>
    <col min="1" max="1" width="17.25" style="33" hidden="1" customWidth="1"/>
    <col min="2" max="2" width="11.5" style="32" hidden="1" customWidth="1"/>
    <col min="3" max="3" width="18.625" style="33" customWidth="1"/>
    <col min="4" max="4" width="18.75" style="32" customWidth="1"/>
    <col min="5" max="5" width="15.75" style="32" customWidth="1"/>
    <col min="6" max="6" width="40.75" style="32" customWidth="1"/>
    <col min="7" max="9" width="16.625" style="32" customWidth="1"/>
    <col min="10" max="10" width="15.25" style="32" customWidth="1"/>
    <col min="11" max="11" width="15.625" style="32" customWidth="1"/>
    <col min="12" max="12" width="31.25" style="32" customWidth="1"/>
    <col min="13" max="13" width="22.75" style="32" customWidth="1"/>
    <col min="14" max="14" width="23.25" style="32" customWidth="1"/>
    <col min="15" max="15" width="6.5" style="19" hidden="1" customWidth="1"/>
    <col min="16" max="16" width="10.25" style="19" hidden="1" customWidth="1"/>
    <col min="17" max="17" width="13.75" style="19" hidden="1" customWidth="1"/>
    <col min="18" max="18" width="11.625" style="19" hidden="1" customWidth="1"/>
    <col min="19" max="19" width="14.25" style="19" hidden="1" customWidth="1"/>
    <col min="20" max="20" width="15.625" style="45" hidden="1" customWidth="1"/>
    <col min="21" max="21" width="11" style="19" hidden="1" customWidth="1"/>
    <col min="22" max="32" width="4.25" style="19" hidden="1" customWidth="1"/>
    <col min="33" max="33" width="10.25" style="19" hidden="1" customWidth="1"/>
    <col min="34" max="44" width="4.25" style="19" hidden="1" customWidth="1"/>
    <col min="45" max="45" width="8.125" style="19" hidden="1" customWidth="1"/>
    <col min="46" max="68" width="4.25" style="19" hidden="1" customWidth="1"/>
    <col min="69" max="16384" width="2.75" style="19"/>
  </cols>
  <sheetData>
    <row r="1" spans="1:71" s="2" customFormat="1" ht="88.5" customHeight="1" thickBot="1" x14ac:dyDescent="0.25">
      <c r="A1" s="53"/>
      <c r="B1" s="1"/>
      <c r="C1" s="410" t="s">
        <v>0</v>
      </c>
      <c r="D1" s="411"/>
      <c r="E1" s="411"/>
      <c r="F1" s="411"/>
      <c r="G1" s="411"/>
      <c r="H1" s="411"/>
      <c r="I1" s="411"/>
      <c r="J1" s="411"/>
      <c r="K1" s="411"/>
      <c r="L1" s="411"/>
      <c r="M1" s="411"/>
      <c r="N1" s="411"/>
      <c r="O1" s="411"/>
      <c r="P1" s="411"/>
      <c r="Q1" s="411"/>
      <c r="R1" s="411"/>
      <c r="S1" s="411"/>
      <c r="T1" s="411"/>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7"/>
    </row>
    <row r="2" spans="1:71" s="2" customFormat="1" ht="36" customHeight="1" x14ac:dyDescent="0.2">
      <c r="A2" s="53"/>
      <c r="B2" s="1"/>
      <c r="C2" s="48"/>
      <c r="D2" s="49"/>
      <c r="E2" s="49"/>
      <c r="F2" s="49"/>
      <c r="G2" s="49"/>
      <c r="H2" s="49"/>
      <c r="I2" s="49"/>
      <c r="J2" s="49"/>
      <c r="K2" s="49"/>
      <c r="L2" s="49"/>
      <c r="M2" s="49"/>
      <c r="N2" s="50"/>
      <c r="O2" s="3"/>
      <c r="P2" s="377"/>
      <c r="Q2" s="377"/>
      <c r="R2" s="377"/>
      <c r="S2" s="377"/>
      <c r="T2" s="4" t="s">
        <v>1</v>
      </c>
      <c r="U2" s="35">
        <v>1</v>
      </c>
      <c r="V2" s="5"/>
      <c r="W2" s="6"/>
      <c r="X2" s="376" t="s">
        <v>2</v>
      </c>
      <c r="Y2" s="376"/>
      <c r="Z2" s="376"/>
      <c r="AA2" s="376"/>
      <c r="AB2" s="376"/>
      <c r="AC2" s="7"/>
      <c r="AD2" s="376" t="s">
        <v>3</v>
      </c>
      <c r="AE2" s="376"/>
      <c r="AF2" s="376"/>
      <c r="AG2" s="376"/>
      <c r="AH2" s="8"/>
      <c r="AI2" s="376" t="s">
        <v>4</v>
      </c>
      <c r="AJ2" s="376"/>
      <c r="AK2" s="376"/>
      <c r="AL2" s="376"/>
      <c r="AM2" s="9"/>
      <c r="AN2" s="376" t="s">
        <v>5</v>
      </c>
      <c r="AO2" s="376"/>
      <c r="AP2" s="376"/>
      <c r="AQ2" s="376"/>
      <c r="AR2" s="376"/>
      <c r="AS2" s="376"/>
      <c r="AT2" s="376"/>
      <c r="AU2" s="10"/>
      <c r="AV2" s="397" t="s">
        <v>6</v>
      </c>
      <c r="AW2" s="398"/>
      <c r="AX2" s="398"/>
      <c r="AY2" s="398"/>
      <c r="AZ2" s="398"/>
      <c r="BA2" s="398"/>
      <c r="BB2" s="398"/>
      <c r="BC2" s="398"/>
      <c r="BD2" s="398"/>
      <c r="BE2" s="398"/>
      <c r="BF2" s="398"/>
      <c r="BG2" s="398"/>
      <c r="BH2" s="398"/>
      <c r="BI2" s="398"/>
      <c r="BJ2" s="398"/>
      <c r="BK2" s="398"/>
      <c r="BL2" s="398"/>
      <c r="BM2" s="398"/>
      <c r="BN2" s="398"/>
      <c r="BO2" s="398"/>
      <c r="BP2" s="399"/>
      <c r="BS2"/>
    </row>
    <row r="3" spans="1:71" s="15" customFormat="1" ht="21.75" customHeight="1" x14ac:dyDescent="0.2">
      <c r="A3" s="53"/>
      <c r="B3" s="1"/>
      <c r="C3" s="383" t="s">
        <v>7</v>
      </c>
      <c r="D3" s="402" t="s">
        <v>8</v>
      </c>
      <c r="E3" s="402" t="s">
        <v>9</v>
      </c>
      <c r="F3" s="402" t="s">
        <v>10</v>
      </c>
      <c r="G3" s="381" t="s">
        <v>11</v>
      </c>
      <c r="H3" s="381" t="s">
        <v>12</v>
      </c>
      <c r="I3" s="381" t="s">
        <v>13</v>
      </c>
      <c r="J3" s="381" t="s">
        <v>14</v>
      </c>
      <c r="K3" s="381" t="s">
        <v>15</v>
      </c>
      <c r="L3" s="381" t="s">
        <v>16</v>
      </c>
      <c r="M3" s="381" t="s">
        <v>17</v>
      </c>
      <c r="N3" s="381" t="s">
        <v>18</v>
      </c>
      <c r="O3" s="11"/>
      <c r="P3" s="378" t="s">
        <v>19</v>
      </c>
      <c r="Q3" s="378" t="s">
        <v>20</v>
      </c>
      <c r="R3" s="378" t="s">
        <v>21</v>
      </c>
      <c r="S3" s="378" t="s">
        <v>22</v>
      </c>
      <c r="T3" s="378" t="s">
        <v>23</v>
      </c>
      <c r="U3" s="63">
        <v>2020</v>
      </c>
      <c r="V3" s="63"/>
      <c r="W3" s="63"/>
      <c r="X3" s="63"/>
      <c r="Y3" s="63"/>
      <c r="Z3" s="63"/>
      <c r="AA3" s="63"/>
      <c r="AB3" s="63"/>
      <c r="AC3" s="63"/>
      <c r="AD3" s="63"/>
      <c r="AE3" s="63"/>
      <c r="AF3" s="64"/>
      <c r="AG3" s="12">
        <v>2021</v>
      </c>
      <c r="AH3" s="13"/>
      <c r="AI3" s="13"/>
      <c r="AJ3" s="13"/>
      <c r="AK3" s="13"/>
      <c r="AL3" s="13"/>
      <c r="AM3" s="13"/>
      <c r="AN3" s="13"/>
      <c r="AO3" s="13"/>
      <c r="AP3" s="13"/>
      <c r="AQ3" s="13"/>
      <c r="AR3" s="14"/>
      <c r="AS3" s="394">
        <v>2022</v>
      </c>
      <c r="AT3" s="395"/>
      <c r="AU3" s="395"/>
      <c r="AV3" s="395"/>
      <c r="AW3" s="395"/>
      <c r="AX3" s="395"/>
      <c r="AY3" s="395"/>
      <c r="AZ3" s="395"/>
      <c r="BA3" s="395"/>
      <c r="BB3" s="395"/>
      <c r="BC3" s="395"/>
      <c r="BD3" s="396"/>
      <c r="BE3" s="400" t="s">
        <v>24</v>
      </c>
      <c r="BF3" s="400"/>
      <c r="BG3" s="400"/>
      <c r="BH3" s="400"/>
      <c r="BI3" s="400"/>
      <c r="BJ3" s="400"/>
      <c r="BK3" s="400"/>
      <c r="BL3" s="400"/>
      <c r="BM3" s="400"/>
      <c r="BN3" s="400"/>
      <c r="BO3" s="400"/>
      <c r="BP3" s="401"/>
    </row>
    <row r="4" spans="1:71" s="2" customFormat="1" ht="54.75" customHeight="1" x14ac:dyDescent="0.2">
      <c r="A4" s="53"/>
      <c r="B4" s="1"/>
      <c r="C4" s="384"/>
      <c r="D4" s="403"/>
      <c r="E4" s="403"/>
      <c r="F4" s="403"/>
      <c r="G4" s="382"/>
      <c r="H4" s="382"/>
      <c r="I4" s="382"/>
      <c r="J4" s="382"/>
      <c r="K4" s="382"/>
      <c r="L4" s="382"/>
      <c r="M4" s="382"/>
      <c r="N4" s="382"/>
      <c r="O4" s="3"/>
      <c r="P4" s="378"/>
      <c r="Q4" s="378"/>
      <c r="R4" s="378"/>
      <c r="S4" s="378"/>
      <c r="T4" s="378"/>
      <c r="U4" s="16">
        <v>1</v>
      </c>
      <c r="V4" s="17">
        <v>2</v>
      </c>
      <c r="W4" s="17">
        <v>3</v>
      </c>
      <c r="X4" s="17">
        <v>4</v>
      </c>
      <c r="Y4" s="17">
        <v>5</v>
      </c>
      <c r="Z4" s="17">
        <v>6</v>
      </c>
      <c r="AA4" s="17">
        <v>7</v>
      </c>
      <c r="AB4" s="17">
        <v>8</v>
      </c>
      <c r="AC4" s="17">
        <v>9</v>
      </c>
      <c r="AD4" s="17">
        <v>10</v>
      </c>
      <c r="AE4" s="17">
        <v>11</v>
      </c>
      <c r="AF4" s="17">
        <v>12</v>
      </c>
      <c r="AG4" s="17">
        <v>13</v>
      </c>
      <c r="AH4" s="17">
        <v>14</v>
      </c>
      <c r="AI4" s="17">
        <v>15</v>
      </c>
      <c r="AJ4" s="17">
        <v>16</v>
      </c>
      <c r="AK4" s="17">
        <v>17</v>
      </c>
      <c r="AL4" s="17">
        <v>18</v>
      </c>
      <c r="AM4" s="17">
        <v>19</v>
      </c>
      <c r="AN4" s="17">
        <v>20</v>
      </c>
      <c r="AO4" s="17">
        <v>21</v>
      </c>
      <c r="AP4" s="17">
        <v>22</v>
      </c>
      <c r="AQ4" s="17">
        <v>23</v>
      </c>
      <c r="AR4" s="17">
        <v>24</v>
      </c>
      <c r="AS4" s="17">
        <v>25</v>
      </c>
      <c r="AT4" s="17">
        <v>26</v>
      </c>
      <c r="AU4" s="17">
        <v>27</v>
      </c>
      <c r="AV4" s="17">
        <v>28</v>
      </c>
      <c r="AW4" s="17">
        <v>29</v>
      </c>
      <c r="AX4" s="17">
        <v>30</v>
      </c>
      <c r="AY4" s="17">
        <v>31</v>
      </c>
      <c r="AZ4" s="17">
        <v>32</v>
      </c>
      <c r="BA4" s="17">
        <v>33</v>
      </c>
      <c r="BB4" s="17">
        <v>34</v>
      </c>
      <c r="BC4" s="17">
        <v>35</v>
      </c>
      <c r="BD4" s="17">
        <v>36</v>
      </c>
      <c r="BE4" s="17">
        <v>37</v>
      </c>
      <c r="BF4" s="17">
        <v>38</v>
      </c>
      <c r="BG4" s="17">
        <v>39</v>
      </c>
      <c r="BH4" s="17">
        <v>40</v>
      </c>
      <c r="BI4" s="17">
        <v>41</v>
      </c>
      <c r="BJ4" s="17">
        <v>42</v>
      </c>
      <c r="BK4" s="17">
        <v>43</v>
      </c>
      <c r="BL4" s="17">
        <v>44</v>
      </c>
      <c r="BM4" s="17">
        <v>45</v>
      </c>
      <c r="BN4" s="17">
        <v>46</v>
      </c>
      <c r="BO4" s="17">
        <v>47</v>
      </c>
      <c r="BP4" s="18">
        <v>48</v>
      </c>
    </row>
    <row r="5" spans="1:71" s="2" customFormat="1" ht="54.75" customHeight="1" x14ac:dyDescent="0.2">
      <c r="A5" s="53"/>
      <c r="B5" s="1"/>
      <c r="C5" s="36"/>
      <c r="D5" s="385" t="s">
        <v>25</v>
      </c>
      <c r="E5" s="386"/>
      <c r="F5" s="386"/>
      <c r="G5" s="386"/>
      <c r="H5" s="386"/>
      <c r="I5" s="386"/>
      <c r="J5" s="386"/>
      <c r="K5" s="386"/>
      <c r="L5" s="386"/>
      <c r="M5" s="386"/>
      <c r="N5" s="387"/>
      <c r="O5" s="3"/>
      <c r="P5" s="37">
        <v>0</v>
      </c>
      <c r="Q5" s="38">
        <v>0</v>
      </c>
      <c r="R5" s="37">
        <v>0</v>
      </c>
      <c r="S5" s="38">
        <v>0</v>
      </c>
      <c r="T5" s="39">
        <v>0</v>
      </c>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20"/>
    </row>
    <row r="6" spans="1:71" s="2" customFormat="1" ht="91.5" customHeight="1" x14ac:dyDescent="0.2">
      <c r="A6" s="53"/>
      <c r="B6" s="1"/>
      <c r="C6" s="40" t="s">
        <v>26</v>
      </c>
      <c r="D6" s="21" t="s">
        <v>27</v>
      </c>
      <c r="E6" s="21" t="s">
        <v>28</v>
      </c>
      <c r="F6" s="21" t="s">
        <v>29</v>
      </c>
      <c r="G6" s="21">
        <v>3</v>
      </c>
      <c r="H6" s="21">
        <v>4</v>
      </c>
      <c r="I6" s="21">
        <f>G6-H6</f>
        <v>-1</v>
      </c>
      <c r="J6" s="21" t="s">
        <v>30</v>
      </c>
      <c r="K6" s="21" t="s">
        <v>30</v>
      </c>
      <c r="L6" s="21" t="s">
        <v>31</v>
      </c>
      <c r="M6" s="21" t="s">
        <v>32</v>
      </c>
      <c r="N6" s="21" t="s">
        <v>33</v>
      </c>
      <c r="O6" s="3"/>
      <c r="P6" s="41">
        <v>0</v>
      </c>
      <c r="Q6" s="41">
        <v>0</v>
      </c>
      <c r="R6" s="41">
        <v>0</v>
      </c>
      <c r="S6" s="41">
        <v>0</v>
      </c>
      <c r="T6" s="42">
        <v>0</v>
      </c>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20"/>
    </row>
    <row r="7" spans="1:71" s="2" customFormat="1" ht="132" customHeight="1" x14ac:dyDescent="0.2">
      <c r="A7" s="53"/>
      <c r="B7" s="1"/>
      <c r="C7" s="40" t="s">
        <v>26</v>
      </c>
      <c r="D7" s="21"/>
      <c r="E7" s="21" t="s">
        <v>34</v>
      </c>
      <c r="F7" s="21" t="s">
        <v>35</v>
      </c>
      <c r="G7" s="21">
        <v>4</v>
      </c>
      <c r="H7" s="21">
        <v>4</v>
      </c>
      <c r="I7" s="21">
        <f>G7-H7</f>
        <v>0</v>
      </c>
      <c r="J7" s="21" t="s">
        <v>30</v>
      </c>
      <c r="K7" s="21" t="s">
        <v>30</v>
      </c>
      <c r="L7" s="21" t="s">
        <v>36</v>
      </c>
      <c r="M7" s="21"/>
      <c r="N7" s="21" t="s">
        <v>37</v>
      </c>
      <c r="O7" s="3"/>
      <c r="P7" s="41">
        <v>0</v>
      </c>
      <c r="Q7" s="41">
        <v>0</v>
      </c>
      <c r="R7" s="41">
        <v>0</v>
      </c>
      <c r="S7" s="41">
        <v>0</v>
      </c>
      <c r="T7" s="42">
        <v>0</v>
      </c>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20"/>
    </row>
    <row r="8" spans="1:71" s="2" customFormat="1" ht="30" customHeight="1" x14ac:dyDescent="0.2">
      <c r="A8" s="53"/>
      <c r="B8" s="1" t="s">
        <v>32</v>
      </c>
      <c r="C8" s="40"/>
      <c r="D8" s="21"/>
      <c r="E8" s="379" t="s">
        <v>38</v>
      </c>
      <c r="F8" s="380"/>
      <c r="G8" s="22">
        <f>SUM(G6:G7)/2</f>
        <v>3.5</v>
      </c>
      <c r="H8" s="22">
        <f>SUM(H6:H7)/2</f>
        <v>4</v>
      </c>
      <c r="I8" s="22">
        <f>SUM(I6:I7)/2</f>
        <v>-0.5</v>
      </c>
      <c r="J8" s="23" t="s">
        <v>16</v>
      </c>
      <c r="K8" s="391"/>
      <c r="L8" s="392"/>
      <c r="M8" s="392"/>
      <c r="N8" s="393"/>
      <c r="O8" s="24"/>
      <c r="P8" s="375">
        <v>0</v>
      </c>
      <c r="Q8" s="375"/>
      <c r="R8" s="375"/>
      <c r="S8" s="375"/>
      <c r="T8" s="375"/>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20"/>
    </row>
    <row r="9" spans="1:71" s="2" customFormat="1" ht="54.75" customHeight="1" x14ac:dyDescent="0.2">
      <c r="A9" s="53"/>
      <c r="B9" s="1"/>
      <c r="C9" s="36"/>
      <c r="D9" s="385" t="s">
        <v>39</v>
      </c>
      <c r="E9" s="386"/>
      <c r="F9" s="386"/>
      <c r="G9" s="386"/>
      <c r="H9" s="386"/>
      <c r="I9" s="386"/>
      <c r="J9" s="386"/>
      <c r="K9" s="386"/>
      <c r="L9" s="386"/>
      <c r="M9" s="386"/>
      <c r="N9" s="387"/>
      <c r="O9" s="3"/>
      <c r="P9" s="37">
        <v>0</v>
      </c>
      <c r="Q9" s="38">
        <v>0</v>
      </c>
      <c r="R9" s="37">
        <v>0</v>
      </c>
      <c r="S9" s="38">
        <v>0</v>
      </c>
      <c r="T9" s="39">
        <v>0</v>
      </c>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20"/>
    </row>
    <row r="10" spans="1:71" s="2" customFormat="1" ht="75" customHeight="1" x14ac:dyDescent="0.2">
      <c r="A10" s="53"/>
      <c r="B10" s="1"/>
      <c r="C10" s="40" t="s">
        <v>26</v>
      </c>
      <c r="D10" s="21" t="s">
        <v>40</v>
      </c>
      <c r="E10" s="21" t="s">
        <v>41</v>
      </c>
      <c r="F10" s="21" t="s">
        <v>42</v>
      </c>
      <c r="G10" s="21">
        <v>5</v>
      </c>
      <c r="H10" s="21">
        <v>4</v>
      </c>
      <c r="I10" s="21">
        <f>G10-H10</f>
        <v>1</v>
      </c>
      <c r="J10" s="21" t="s">
        <v>30</v>
      </c>
      <c r="K10" s="21" t="s">
        <v>30</v>
      </c>
      <c r="L10" s="21" t="s">
        <v>43</v>
      </c>
      <c r="M10" s="21" t="s">
        <v>44</v>
      </c>
      <c r="N10" s="21" t="s">
        <v>33</v>
      </c>
      <c r="O10" s="3"/>
      <c r="P10" s="41">
        <v>0</v>
      </c>
      <c r="Q10" s="41">
        <v>0</v>
      </c>
      <c r="R10" s="41">
        <v>0</v>
      </c>
      <c r="S10" s="41">
        <v>0</v>
      </c>
      <c r="T10" s="42">
        <v>0</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20"/>
    </row>
    <row r="11" spans="1:71" s="2" customFormat="1" ht="30" customHeight="1" x14ac:dyDescent="0.2">
      <c r="A11" s="53"/>
      <c r="B11" s="1" t="s">
        <v>45</v>
      </c>
      <c r="C11" s="40"/>
      <c r="D11" s="21"/>
      <c r="E11" s="379" t="s">
        <v>38</v>
      </c>
      <c r="F11" s="380"/>
      <c r="G11" s="22">
        <f>SUM(G10)</f>
        <v>5</v>
      </c>
      <c r="H11" s="22">
        <f>SUM(H10)</f>
        <v>4</v>
      </c>
      <c r="I11" s="22">
        <f>SUM(I10)</f>
        <v>1</v>
      </c>
      <c r="J11" s="23" t="s">
        <v>16</v>
      </c>
      <c r="K11" s="391"/>
      <c r="L11" s="392"/>
      <c r="M11" s="392"/>
      <c r="N11" s="393"/>
      <c r="O11" s="24"/>
      <c r="P11" s="375">
        <v>0</v>
      </c>
      <c r="Q11" s="375"/>
      <c r="R11" s="375"/>
      <c r="S11" s="375"/>
      <c r="T11" s="37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20"/>
    </row>
    <row r="12" spans="1:71" s="2" customFormat="1" ht="54.75" customHeight="1" x14ac:dyDescent="0.2">
      <c r="A12" s="53"/>
      <c r="B12" s="1"/>
      <c r="C12" s="36"/>
      <c r="D12" s="385" t="s">
        <v>46</v>
      </c>
      <c r="E12" s="386"/>
      <c r="F12" s="386"/>
      <c r="G12" s="386"/>
      <c r="H12" s="386"/>
      <c r="I12" s="386"/>
      <c r="J12" s="386"/>
      <c r="K12" s="386"/>
      <c r="L12" s="386"/>
      <c r="M12" s="386"/>
      <c r="N12" s="387"/>
      <c r="O12" s="3"/>
      <c r="P12" s="37">
        <v>0</v>
      </c>
      <c r="Q12" s="38">
        <v>0</v>
      </c>
      <c r="R12" s="37">
        <v>0</v>
      </c>
      <c r="S12" s="38">
        <v>0</v>
      </c>
      <c r="T12" s="39">
        <v>0</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20"/>
    </row>
    <row r="13" spans="1:71" s="2" customFormat="1" ht="97.15" customHeight="1" x14ac:dyDescent="0.2">
      <c r="A13" s="53"/>
      <c r="B13" s="1"/>
      <c r="C13" s="40" t="s">
        <v>26</v>
      </c>
      <c r="D13" s="21" t="s">
        <v>47</v>
      </c>
      <c r="E13" s="21" t="s">
        <v>48</v>
      </c>
      <c r="F13" s="21" t="s">
        <v>49</v>
      </c>
      <c r="G13" s="21">
        <v>5</v>
      </c>
      <c r="H13" s="21">
        <v>4</v>
      </c>
      <c r="I13" s="21">
        <f>G13-H13</f>
        <v>1</v>
      </c>
      <c r="J13" s="21" t="s">
        <v>30</v>
      </c>
      <c r="K13" s="21" t="s">
        <v>30</v>
      </c>
      <c r="L13" s="21" t="s">
        <v>50</v>
      </c>
      <c r="M13" s="21"/>
      <c r="N13" s="21" t="s">
        <v>51</v>
      </c>
      <c r="O13" s="3"/>
      <c r="P13" s="41">
        <v>0</v>
      </c>
      <c r="Q13" s="41">
        <v>0</v>
      </c>
      <c r="R13" s="41">
        <v>0</v>
      </c>
      <c r="S13" s="41">
        <v>0</v>
      </c>
      <c r="T13" s="42">
        <v>0</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20"/>
    </row>
    <row r="14" spans="1:71" s="2" customFormat="1" ht="30" customHeight="1" x14ac:dyDescent="0.2">
      <c r="A14" s="53"/>
      <c r="B14" s="1" t="s">
        <v>52</v>
      </c>
      <c r="C14" s="40"/>
      <c r="D14" s="21"/>
      <c r="E14" s="379" t="s">
        <v>38</v>
      </c>
      <c r="F14" s="380"/>
      <c r="G14" s="22">
        <f>SUM(G13)</f>
        <v>5</v>
      </c>
      <c r="H14" s="22">
        <f>SUM(H13)</f>
        <v>4</v>
      </c>
      <c r="I14" s="22">
        <f>SUM(I13)</f>
        <v>1</v>
      </c>
      <c r="J14" s="23" t="s">
        <v>16</v>
      </c>
      <c r="K14" s="391"/>
      <c r="L14" s="392"/>
      <c r="M14" s="392"/>
      <c r="N14" s="393"/>
      <c r="O14" s="24"/>
      <c r="P14" s="375">
        <v>0</v>
      </c>
      <c r="Q14" s="375"/>
      <c r="R14" s="375"/>
      <c r="S14" s="375"/>
      <c r="T14" s="37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20"/>
    </row>
    <row r="15" spans="1:71" s="2" customFormat="1" ht="54.75" customHeight="1" x14ac:dyDescent="0.2">
      <c r="A15" s="53"/>
      <c r="B15" s="1"/>
      <c r="C15" s="36"/>
      <c r="D15" s="385" t="s">
        <v>53</v>
      </c>
      <c r="E15" s="386"/>
      <c r="F15" s="386"/>
      <c r="G15" s="386"/>
      <c r="H15" s="386"/>
      <c r="I15" s="386"/>
      <c r="J15" s="386"/>
      <c r="K15" s="386"/>
      <c r="L15" s="386"/>
      <c r="M15" s="386"/>
      <c r="N15" s="387"/>
      <c r="O15" s="3"/>
      <c r="P15" s="37">
        <v>0</v>
      </c>
      <c r="Q15" s="38">
        <v>0</v>
      </c>
      <c r="R15" s="37">
        <v>0</v>
      </c>
      <c r="S15" s="38">
        <v>0</v>
      </c>
      <c r="T15" s="39">
        <v>0</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20"/>
    </row>
    <row r="16" spans="1:71" s="2" customFormat="1" ht="75" customHeight="1" x14ac:dyDescent="0.2">
      <c r="A16" s="53"/>
      <c r="B16" s="1"/>
      <c r="C16" s="40" t="s">
        <v>26</v>
      </c>
      <c r="D16" s="21" t="s">
        <v>54</v>
      </c>
      <c r="E16" s="21" t="s">
        <v>55</v>
      </c>
      <c r="F16" s="21" t="s">
        <v>56</v>
      </c>
      <c r="G16" s="21">
        <v>5</v>
      </c>
      <c r="H16" s="21">
        <v>4</v>
      </c>
      <c r="I16" s="21">
        <f t="shared" ref="I16:I28" si="0">G16-H16</f>
        <v>1</v>
      </c>
      <c r="J16" s="21" t="s">
        <v>30</v>
      </c>
      <c r="K16" s="21" t="s">
        <v>30</v>
      </c>
      <c r="L16" s="21" t="s">
        <v>57</v>
      </c>
      <c r="M16" s="21"/>
      <c r="N16" s="21" t="s">
        <v>33</v>
      </c>
      <c r="O16" s="3"/>
      <c r="P16" s="41">
        <v>0</v>
      </c>
      <c r="Q16" s="41">
        <v>0</v>
      </c>
      <c r="R16" s="41">
        <v>0</v>
      </c>
      <c r="S16" s="41">
        <v>0</v>
      </c>
      <c r="T16" s="42">
        <v>0</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0"/>
    </row>
    <row r="17" spans="1:68" s="2" customFormat="1" ht="75" customHeight="1" x14ac:dyDescent="0.2">
      <c r="A17" s="53"/>
      <c r="B17" s="1"/>
      <c r="C17" s="40" t="s">
        <v>26</v>
      </c>
      <c r="D17" s="21" t="s">
        <v>58</v>
      </c>
      <c r="E17" s="21" t="s">
        <v>59</v>
      </c>
      <c r="F17" s="21" t="s">
        <v>60</v>
      </c>
      <c r="G17" s="21">
        <v>4</v>
      </c>
      <c r="H17" s="21">
        <v>4</v>
      </c>
      <c r="I17" s="21">
        <f t="shared" si="0"/>
        <v>0</v>
      </c>
      <c r="J17" s="21" t="s">
        <v>30</v>
      </c>
      <c r="K17" s="21" t="s">
        <v>30</v>
      </c>
      <c r="L17" s="21" t="s">
        <v>57</v>
      </c>
      <c r="M17" s="21"/>
      <c r="N17" s="21" t="s">
        <v>61</v>
      </c>
      <c r="O17" s="3"/>
      <c r="P17" s="41">
        <v>0</v>
      </c>
      <c r="Q17" s="41">
        <v>0</v>
      </c>
      <c r="R17" s="41">
        <v>0</v>
      </c>
      <c r="S17" s="41">
        <v>0</v>
      </c>
      <c r="T17" s="42">
        <v>0</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20"/>
    </row>
    <row r="18" spans="1:68" s="2" customFormat="1" ht="108" customHeight="1" x14ac:dyDescent="0.2">
      <c r="A18" s="53"/>
      <c r="B18" s="1"/>
      <c r="C18" s="40" t="s">
        <v>26</v>
      </c>
      <c r="D18" s="21" t="s">
        <v>58</v>
      </c>
      <c r="E18" s="21" t="s">
        <v>62</v>
      </c>
      <c r="F18" s="21" t="s">
        <v>63</v>
      </c>
      <c r="G18" s="21">
        <v>4</v>
      </c>
      <c r="H18" s="21">
        <v>4</v>
      </c>
      <c r="I18" s="21">
        <f t="shared" si="0"/>
        <v>0</v>
      </c>
      <c r="J18" s="21" t="s">
        <v>30</v>
      </c>
      <c r="K18" s="21" t="s">
        <v>30</v>
      </c>
      <c r="L18" s="21" t="s">
        <v>57</v>
      </c>
      <c r="M18" s="21"/>
      <c r="N18" s="21" t="s">
        <v>33</v>
      </c>
      <c r="O18" s="3"/>
      <c r="P18" s="41">
        <v>0</v>
      </c>
      <c r="Q18" s="41">
        <v>0</v>
      </c>
      <c r="R18" s="41">
        <v>0</v>
      </c>
      <c r="S18" s="41">
        <v>0</v>
      </c>
      <c r="T18" s="42">
        <v>0</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20"/>
    </row>
    <row r="19" spans="1:68" s="2" customFormat="1" ht="111" customHeight="1" x14ac:dyDescent="0.2">
      <c r="A19" s="53"/>
      <c r="B19" s="1"/>
      <c r="C19" s="40" t="s">
        <v>26</v>
      </c>
      <c r="D19" s="21" t="s">
        <v>58</v>
      </c>
      <c r="E19" s="21" t="s">
        <v>64</v>
      </c>
      <c r="F19" s="21" t="s">
        <v>65</v>
      </c>
      <c r="G19" s="21">
        <v>5</v>
      </c>
      <c r="H19" s="21">
        <v>4</v>
      </c>
      <c r="I19" s="21">
        <f t="shared" si="0"/>
        <v>1</v>
      </c>
      <c r="J19" s="21" t="s">
        <v>30</v>
      </c>
      <c r="K19" s="21" t="s">
        <v>30</v>
      </c>
      <c r="L19" s="21" t="s">
        <v>57</v>
      </c>
      <c r="M19" s="21"/>
      <c r="N19" s="21" t="s">
        <v>66</v>
      </c>
      <c r="O19" s="3"/>
      <c r="P19" s="41">
        <v>0</v>
      </c>
      <c r="Q19" s="41">
        <v>0</v>
      </c>
      <c r="R19" s="41">
        <v>0</v>
      </c>
      <c r="S19" s="41">
        <v>0</v>
      </c>
      <c r="T19" s="42">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20"/>
    </row>
    <row r="20" spans="1:68" s="2" customFormat="1" ht="213" customHeight="1" x14ac:dyDescent="0.2">
      <c r="A20" s="53"/>
      <c r="B20" s="1"/>
      <c r="C20" s="40" t="s">
        <v>26</v>
      </c>
      <c r="D20" s="21" t="s">
        <v>58</v>
      </c>
      <c r="E20" s="21" t="s">
        <v>67</v>
      </c>
      <c r="F20" s="21" t="s">
        <v>68</v>
      </c>
      <c r="G20" s="21">
        <v>4</v>
      </c>
      <c r="H20" s="21">
        <v>4</v>
      </c>
      <c r="I20" s="21">
        <f t="shared" si="0"/>
        <v>0</v>
      </c>
      <c r="J20" s="21" t="s">
        <v>30</v>
      </c>
      <c r="K20" s="21" t="s">
        <v>30</v>
      </c>
      <c r="L20" s="21" t="s">
        <v>57</v>
      </c>
      <c r="M20" s="21" t="s">
        <v>69</v>
      </c>
      <c r="N20" s="21" t="s">
        <v>70</v>
      </c>
      <c r="O20" s="3"/>
      <c r="P20" s="41">
        <v>0</v>
      </c>
      <c r="Q20" s="41">
        <v>0</v>
      </c>
      <c r="R20" s="41">
        <v>0</v>
      </c>
      <c r="S20" s="41">
        <v>0</v>
      </c>
      <c r="T20" s="42">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20"/>
    </row>
    <row r="21" spans="1:68" s="2" customFormat="1" ht="75" customHeight="1" x14ac:dyDescent="0.2">
      <c r="A21" s="53"/>
      <c r="B21" s="1"/>
      <c r="C21" s="40" t="s">
        <v>26</v>
      </c>
      <c r="D21" s="21" t="s">
        <v>58</v>
      </c>
      <c r="E21" s="21" t="s">
        <v>71</v>
      </c>
      <c r="F21" s="21" t="s">
        <v>72</v>
      </c>
      <c r="G21" s="21">
        <v>5</v>
      </c>
      <c r="H21" s="21">
        <v>4</v>
      </c>
      <c r="I21" s="21">
        <f t="shared" si="0"/>
        <v>1</v>
      </c>
      <c r="J21" s="21" t="s">
        <v>30</v>
      </c>
      <c r="K21" s="21" t="s">
        <v>30</v>
      </c>
      <c r="L21" s="21" t="s">
        <v>57</v>
      </c>
      <c r="M21" s="21"/>
      <c r="N21" s="21" t="s">
        <v>37</v>
      </c>
      <c r="O21" s="3"/>
      <c r="P21" s="41">
        <v>0</v>
      </c>
      <c r="Q21" s="41">
        <v>0</v>
      </c>
      <c r="R21" s="41">
        <v>0</v>
      </c>
      <c r="S21" s="41">
        <v>0</v>
      </c>
      <c r="T21" s="42">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20"/>
    </row>
    <row r="22" spans="1:68" s="2" customFormat="1" ht="75" customHeight="1" x14ac:dyDescent="0.2">
      <c r="A22" s="53"/>
      <c r="B22" s="1"/>
      <c r="C22" s="40" t="s">
        <v>26</v>
      </c>
      <c r="D22" s="21" t="s">
        <v>58</v>
      </c>
      <c r="E22" s="21" t="s">
        <v>73</v>
      </c>
      <c r="F22" s="21" t="s">
        <v>74</v>
      </c>
      <c r="G22" s="21">
        <v>4</v>
      </c>
      <c r="H22" s="21">
        <v>4</v>
      </c>
      <c r="I22" s="21">
        <f t="shared" si="0"/>
        <v>0</v>
      </c>
      <c r="J22" s="21" t="s">
        <v>30</v>
      </c>
      <c r="K22" s="21" t="s">
        <v>30</v>
      </c>
      <c r="L22" s="21" t="s">
        <v>57</v>
      </c>
      <c r="M22" s="21"/>
      <c r="N22" s="21" t="s">
        <v>66</v>
      </c>
      <c r="O22" s="3"/>
      <c r="P22" s="41">
        <v>0</v>
      </c>
      <c r="Q22" s="41">
        <v>0</v>
      </c>
      <c r="R22" s="41">
        <v>0</v>
      </c>
      <c r="S22" s="41">
        <v>0</v>
      </c>
      <c r="T22" s="42">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20"/>
    </row>
    <row r="23" spans="1:68" s="2" customFormat="1" ht="75" customHeight="1" x14ac:dyDescent="0.2">
      <c r="A23" s="53"/>
      <c r="B23" s="1"/>
      <c r="C23" s="40" t="s">
        <v>26</v>
      </c>
      <c r="D23" s="21" t="s">
        <v>58</v>
      </c>
      <c r="E23" s="21" t="s">
        <v>75</v>
      </c>
      <c r="F23" s="21" t="s">
        <v>76</v>
      </c>
      <c r="G23" s="21">
        <v>5</v>
      </c>
      <c r="H23" s="21">
        <v>4</v>
      </c>
      <c r="I23" s="21">
        <f t="shared" si="0"/>
        <v>1</v>
      </c>
      <c r="J23" s="21" t="s">
        <v>30</v>
      </c>
      <c r="K23" s="21" t="s">
        <v>30</v>
      </c>
      <c r="L23" s="21" t="s">
        <v>57</v>
      </c>
      <c r="M23" s="21"/>
      <c r="N23" s="21" t="s">
        <v>66</v>
      </c>
      <c r="O23" s="3"/>
      <c r="P23" s="41">
        <v>0</v>
      </c>
      <c r="Q23" s="41">
        <v>0</v>
      </c>
      <c r="R23" s="41">
        <v>0</v>
      </c>
      <c r="S23" s="41">
        <v>0</v>
      </c>
      <c r="T23" s="42">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20"/>
    </row>
    <row r="24" spans="1:68" s="2" customFormat="1" ht="75" customHeight="1" x14ac:dyDescent="0.2">
      <c r="A24" s="53"/>
      <c r="B24" s="1"/>
      <c r="C24" s="40" t="s">
        <v>26</v>
      </c>
      <c r="D24" s="21" t="s">
        <v>58</v>
      </c>
      <c r="E24" s="21" t="s">
        <v>77</v>
      </c>
      <c r="F24" s="21" t="s">
        <v>78</v>
      </c>
      <c r="G24" s="21">
        <v>4</v>
      </c>
      <c r="H24" s="21">
        <v>4</v>
      </c>
      <c r="I24" s="21">
        <f t="shared" si="0"/>
        <v>0</v>
      </c>
      <c r="J24" s="21" t="s">
        <v>30</v>
      </c>
      <c r="K24" s="21" t="s">
        <v>30</v>
      </c>
      <c r="L24" s="21" t="s">
        <v>57</v>
      </c>
      <c r="M24" s="21"/>
      <c r="N24" s="21" t="s">
        <v>66</v>
      </c>
      <c r="O24" s="3"/>
      <c r="P24" s="41">
        <v>0</v>
      </c>
      <c r="Q24" s="41">
        <v>0</v>
      </c>
      <c r="R24" s="41">
        <v>0</v>
      </c>
      <c r="S24" s="41">
        <v>0</v>
      </c>
      <c r="T24" s="42">
        <v>0</v>
      </c>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20"/>
    </row>
    <row r="25" spans="1:68" s="2" customFormat="1" ht="75" customHeight="1" x14ac:dyDescent="0.2">
      <c r="A25" s="53"/>
      <c r="B25" s="1"/>
      <c r="C25" s="40" t="s">
        <v>26</v>
      </c>
      <c r="D25" s="21" t="s">
        <v>58</v>
      </c>
      <c r="E25" s="21" t="s">
        <v>79</v>
      </c>
      <c r="F25" s="21" t="s">
        <v>80</v>
      </c>
      <c r="G25" s="21">
        <v>5</v>
      </c>
      <c r="H25" s="21">
        <v>4</v>
      </c>
      <c r="I25" s="21">
        <f t="shared" si="0"/>
        <v>1</v>
      </c>
      <c r="J25" s="21" t="s">
        <v>30</v>
      </c>
      <c r="K25" s="21" t="s">
        <v>30</v>
      </c>
      <c r="L25" s="21" t="s">
        <v>57</v>
      </c>
      <c r="M25" s="21"/>
      <c r="N25" s="21" t="s">
        <v>81</v>
      </c>
      <c r="O25" s="3"/>
      <c r="P25" s="41">
        <v>0</v>
      </c>
      <c r="Q25" s="41">
        <v>0</v>
      </c>
      <c r="R25" s="41">
        <v>0</v>
      </c>
      <c r="S25" s="41">
        <v>0</v>
      </c>
      <c r="T25" s="42">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0"/>
    </row>
    <row r="26" spans="1:68" s="2" customFormat="1" ht="75" customHeight="1" x14ac:dyDescent="0.2">
      <c r="A26" s="53"/>
      <c r="B26" s="1"/>
      <c r="C26" s="40" t="s">
        <v>26</v>
      </c>
      <c r="D26" s="21" t="s">
        <v>58</v>
      </c>
      <c r="E26" s="21" t="s">
        <v>82</v>
      </c>
      <c r="F26" s="21" t="s">
        <v>83</v>
      </c>
      <c r="G26" s="21">
        <v>5</v>
      </c>
      <c r="H26" s="21">
        <v>4</v>
      </c>
      <c r="I26" s="21">
        <f t="shared" si="0"/>
        <v>1</v>
      </c>
      <c r="J26" s="21" t="s">
        <v>30</v>
      </c>
      <c r="K26" s="21" t="s">
        <v>30</v>
      </c>
      <c r="L26" s="21" t="s">
        <v>57</v>
      </c>
      <c r="M26" s="21"/>
      <c r="N26" s="21" t="s">
        <v>66</v>
      </c>
      <c r="O26" s="3"/>
      <c r="P26" s="41">
        <v>0</v>
      </c>
      <c r="Q26" s="41">
        <v>0</v>
      </c>
      <c r="R26" s="41">
        <v>0</v>
      </c>
      <c r="S26" s="41">
        <v>0</v>
      </c>
      <c r="T26" s="42">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0"/>
    </row>
    <row r="27" spans="1:68" s="2" customFormat="1" ht="75" customHeight="1" x14ac:dyDescent="0.2">
      <c r="A27" s="53"/>
      <c r="B27" s="1"/>
      <c r="C27" s="40" t="s">
        <v>26</v>
      </c>
      <c r="D27" s="21" t="s">
        <v>58</v>
      </c>
      <c r="E27" s="21" t="s">
        <v>84</v>
      </c>
      <c r="F27" s="21" t="s">
        <v>85</v>
      </c>
      <c r="G27" s="21">
        <v>4</v>
      </c>
      <c r="H27" s="21">
        <v>4</v>
      </c>
      <c r="I27" s="21">
        <f t="shared" si="0"/>
        <v>0</v>
      </c>
      <c r="J27" s="21" t="s">
        <v>30</v>
      </c>
      <c r="K27" s="21" t="s">
        <v>30</v>
      </c>
      <c r="L27" s="21" t="s">
        <v>57</v>
      </c>
      <c r="M27" s="21" t="s">
        <v>71</v>
      </c>
      <c r="N27" s="21" t="s">
        <v>86</v>
      </c>
      <c r="O27" s="3"/>
      <c r="P27" s="41">
        <v>0</v>
      </c>
      <c r="Q27" s="41">
        <v>0</v>
      </c>
      <c r="R27" s="41">
        <v>0</v>
      </c>
      <c r="S27" s="41">
        <v>0</v>
      </c>
      <c r="T27" s="42">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0"/>
    </row>
    <row r="28" spans="1:68" s="2" customFormat="1" ht="90" customHeight="1" x14ac:dyDescent="0.2">
      <c r="A28" s="53"/>
      <c r="B28" s="1"/>
      <c r="C28" s="40" t="s">
        <v>26</v>
      </c>
      <c r="D28" s="21"/>
      <c r="E28" s="21" t="s">
        <v>87</v>
      </c>
      <c r="F28" s="21" t="s">
        <v>88</v>
      </c>
      <c r="G28" s="21">
        <v>5</v>
      </c>
      <c r="H28" s="21">
        <v>4</v>
      </c>
      <c r="I28" s="21">
        <f t="shared" si="0"/>
        <v>1</v>
      </c>
      <c r="J28" s="21" t="s">
        <v>30</v>
      </c>
      <c r="K28" s="21" t="s">
        <v>30</v>
      </c>
      <c r="L28" s="21" t="s">
        <v>57</v>
      </c>
      <c r="M28" s="21"/>
      <c r="N28" s="21" t="s">
        <v>89</v>
      </c>
      <c r="O28" s="3"/>
      <c r="P28" s="41">
        <v>0</v>
      </c>
      <c r="Q28" s="41">
        <v>0</v>
      </c>
      <c r="R28" s="41">
        <v>0</v>
      </c>
      <c r="S28" s="41">
        <v>0</v>
      </c>
      <c r="T28" s="42">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20"/>
    </row>
    <row r="29" spans="1:68" s="2" customFormat="1" ht="101.25" hidden="1" customHeight="1" x14ac:dyDescent="0.2">
      <c r="A29" s="53"/>
      <c r="B29" s="1"/>
      <c r="C29" s="43" t="s">
        <v>90</v>
      </c>
      <c r="D29" s="25"/>
      <c r="E29" s="25" t="s">
        <v>91</v>
      </c>
      <c r="F29" s="25" t="s">
        <v>92</v>
      </c>
      <c r="G29" s="25" t="s">
        <v>93</v>
      </c>
      <c r="H29" s="25" t="s">
        <v>93</v>
      </c>
      <c r="I29" s="25" t="s">
        <v>93</v>
      </c>
      <c r="J29" s="25" t="s">
        <v>30</v>
      </c>
      <c r="K29" s="25"/>
      <c r="L29" s="25"/>
      <c r="M29" s="25" t="s">
        <v>94</v>
      </c>
      <c r="N29" s="25" t="s">
        <v>95</v>
      </c>
      <c r="O29" s="3"/>
      <c r="P29" s="41">
        <v>0</v>
      </c>
      <c r="Q29" s="41">
        <v>0</v>
      </c>
      <c r="R29" s="41">
        <v>0</v>
      </c>
      <c r="S29" s="41">
        <v>0</v>
      </c>
      <c r="T29" s="42">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20"/>
    </row>
    <row r="30" spans="1:68" s="2" customFormat="1" ht="75" hidden="1" customHeight="1" x14ac:dyDescent="0.2">
      <c r="A30" s="53"/>
      <c r="B30" s="1"/>
      <c r="C30" s="43" t="s">
        <v>90</v>
      </c>
      <c r="D30" s="25"/>
      <c r="E30" s="25" t="s">
        <v>91</v>
      </c>
      <c r="F30" s="25" t="s">
        <v>96</v>
      </c>
      <c r="G30" s="25" t="s">
        <v>93</v>
      </c>
      <c r="H30" s="25" t="s">
        <v>93</v>
      </c>
      <c r="I30" s="25" t="s">
        <v>93</v>
      </c>
      <c r="J30" s="25" t="s">
        <v>30</v>
      </c>
      <c r="K30" s="25"/>
      <c r="L30" s="25"/>
      <c r="M30" s="25"/>
      <c r="N30" s="25" t="s">
        <v>95</v>
      </c>
      <c r="O30" s="3"/>
      <c r="P30" s="41">
        <v>0</v>
      </c>
      <c r="Q30" s="41">
        <v>0</v>
      </c>
      <c r="R30" s="41">
        <v>0</v>
      </c>
      <c r="S30" s="41">
        <v>0</v>
      </c>
      <c r="T30" s="42">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20"/>
    </row>
    <row r="31" spans="1:68" s="2" customFormat="1" ht="75" hidden="1" customHeight="1" x14ac:dyDescent="0.2">
      <c r="A31" s="53"/>
      <c r="B31" s="1"/>
      <c r="C31" s="43" t="s">
        <v>90</v>
      </c>
      <c r="D31" s="25"/>
      <c r="E31" s="25" t="s">
        <v>91</v>
      </c>
      <c r="F31" s="25" t="s">
        <v>97</v>
      </c>
      <c r="G31" s="25" t="s">
        <v>93</v>
      </c>
      <c r="H31" s="25" t="s">
        <v>93</v>
      </c>
      <c r="I31" s="25" t="s">
        <v>93</v>
      </c>
      <c r="J31" s="25" t="s">
        <v>30</v>
      </c>
      <c r="K31" s="25"/>
      <c r="L31" s="25"/>
      <c r="M31" s="25"/>
      <c r="N31" s="25" t="s">
        <v>98</v>
      </c>
      <c r="O31" s="3"/>
      <c r="P31" s="41">
        <v>0</v>
      </c>
      <c r="Q31" s="41">
        <v>0</v>
      </c>
      <c r="R31" s="41">
        <v>0</v>
      </c>
      <c r="S31" s="41">
        <v>0</v>
      </c>
      <c r="T31" s="42">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0"/>
    </row>
    <row r="32" spans="1:68" s="2" customFormat="1" ht="75" hidden="1" customHeight="1" x14ac:dyDescent="0.2">
      <c r="A32" s="53"/>
      <c r="B32" s="1"/>
      <c r="C32" s="43" t="s">
        <v>99</v>
      </c>
      <c r="D32" s="25"/>
      <c r="E32" s="25" t="s">
        <v>91</v>
      </c>
      <c r="F32" s="25" t="s">
        <v>100</v>
      </c>
      <c r="G32" s="25" t="s">
        <v>93</v>
      </c>
      <c r="H32" s="25" t="s">
        <v>93</v>
      </c>
      <c r="I32" s="25" t="s">
        <v>93</v>
      </c>
      <c r="J32" s="25" t="s">
        <v>30</v>
      </c>
      <c r="K32" s="25"/>
      <c r="L32" s="25"/>
      <c r="M32" s="25"/>
      <c r="N32" s="25" t="s">
        <v>98</v>
      </c>
      <c r="O32" s="3"/>
      <c r="P32" s="41">
        <v>0</v>
      </c>
      <c r="Q32" s="41">
        <v>0</v>
      </c>
      <c r="R32" s="41">
        <v>0</v>
      </c>
      <c r="S32" s="41">
        <v>0</v>
      </c>
      <c r="T32" s="42">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0"/>
    </row>
    <row r="33" spans="1:68" s="2" customFormat="1" ht="75" hidden="1" customHeight="1" x14ac:dyDescent="0.2">
      <c r="A33" s="53"/>
      <c r="B33" s="1"/>
      <c r="C33" s="43" t="s">
        <v>90</v>
      </c>
      <c r="D33" s="25"/>
      <c r="E33" s="25" t="s">
        <v>91</v>
      </c>
      <c r="F33" s="25" t="s">
        <v>101</v>
      </c>
      <c r="G33" s="25" t="s">
        <v>93</v>
      </c>
      <c r="H33" s="25" t="s">
        <v>93</v>
      </c>
      <c r="I33" s="25" t="s">
        <v>93</v>
      </c>
      <c r="J33" s="25" t="s">
        <v>30</v>
      </c>
      <c r="K33" s="25"/>
      <c r="L33" s="25"/>
      <c r="M33" s="25"/>
      <c r="N33" s="25" t="s">
        <v>98</v>
      </c>
      <c r="O33" s="3"/>
      <c r="P33" s="41">
        <v>0</v>
      </c>
      <c r="Q33" s="41">
        <v>0</v>
      </c>
      <c r="R33" s="41">
        <v>0</v>
      </c>
      <c r="S33" s="41">
        <v>0</v>
      </c>
      <c r="T33" s="42">
        <v>0</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0"/>
    </row>
    <row r="34" spans="1:68" s="2" customFormat="1" ht="75" hidden="1" customHeight="1" x14ac:dyDescent="0.2">
      <c r="A34" s="53"/>
      <c r="B34" s="1"/>
      <c r="C34" s="43" t="s">
        <v>90</v>
      </c>
      <c r="D34" s="25"/>
      <c r="E34" s="25" t="s">
        <v>91</v>
      </c>
      <c r="F34" s="25" t="s">
        <v>102</v>
      </c>
      <c r="G34" s="25" t="s">
        <v>93</v>
      </c>
      <c r="H34" s="25" t="s">
        <v>93</v>
      </c>
      <c r="I34" s="25" t="s">
        <v>93</v>
      </c>
      <c r="J34" s="25" t="s">
        <v>30</v>
      </c>
      <c r="K34" s="25"/>
      <c r="L34" s="25"/>
      <c r="M34" s="25"/>
      <c r="N34" s="25" t="s">
        <v>103</v>
      </c>
      <c r="O34" s="3"/>
      <c r="P34" s="41">
        <v>0</v>
      </c>
      <c r="Q34" s="41">
        <v>0</v>
      </c>
      <c r="R34" s="41">
        <v>0</v>
      </c>
      <c r="S34" s="41">
        <v>0</v>
      </c>
      <c r="T34" s="42">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20"/>
    </row>
    <row r="35" spans="1:68" s="2" customFormat="1" ht="30" customHeight="1" x14ac:dyDescent="0.2">
      <c r="A35" s="53"/>
      <c r="B35" s="1" t="s">
        <v>104</v>
      </c>
      <c r="C35" s="40"/>
      <c r="D35" s="21"/>
      <c r="E35" s="379" t="s">
        <v>38</v>
      </c>
      <c r="F35" s="380"/>
      <c r="G35" s="22">
        <f>SUM(G16:G28)/13</f>
        <v>4.5384615384615383</v>
      </c>
      <c r="H35" s="22">
        <f>SUM(H16:H28)/13</f>
        <v>4</v>
      </c>
      <c r="I35" s="22">
        <f>SUM(I16:I28)/13</f>
        <v>0.53846153846153844</v>
      </c>
      <c r="J35" s="23" t="s">
        <v>16</v>
      </c>
      <c r="K35" s="391"/>
      <c r="L35" s="392"/>
      <c r="M35" s="392"/>
      <c r="N35" s="393"/>
      <c r="O35" s="24"/>
      <c r="P35" s="388">
        <v>0</v>
      </c>
      <c r="Q35" s="389"/>
      <c r="R35" s="389"/>
      <c r="S35" s="389"/>
      <c r="T35" s="390"/>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0"/>
    </row>
    <row r="36" spans="1:68" s="2" customFormat="1" ht="54.75" customHeight="1" x14ac:dyDescent="0.2">
      <c r="A36" s="53"/>
      <c r="B36" s="1"/>
      <c r="C36" s="36"/>
      <c r="D36" s="385" t="s">
        <v>105</v>
      </c>
      <c r="E36" s="386"/>
      <c r="F36" s="386"/>
      <c r="G36" s="386"/>
      <c r="H36" s="386"/>
      <c r="I36" s="386"/>
      <c r="J36" s="386"/>
      <c r="K36" s="386"/>
      <c r="L36" s="386"/>
      <c r="M36" s="386"/>
      <c r="N36" s="387"/>
      <c r="O36" s="3"/>
      <c r="P36" s="37">
        <v>0</v>
      </c>
      <c r="Q36" s="38">
        <v>0</v>
      </c>
      <c r="R36" s="37">
        <v>0</v>
      </c>
      <c r="S36" s="38">
        <v>0</v>
      </c>
      <c r="T36" s="39">
        <v>0</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0"/>
    </row>
    <row r="37" spans="1:68" s="2" customFormat="1" ht="75" customHeight="1" x14ac:dyDescent="0.2">
      <c r="A37" s="53"/>
      <c r="B37" s="1"/>
      <c r="C37" s="40" t="s">
        <v>26</v>
      </c>
      <c r="D37" s="21" t="s">
        <v>106</v>
      </c>
      <c r="E37" s="21" t="s">
        <v>107</v>
      </c>
      <c r="F37" s="21" t="s">
        <v>108</v>
      </c>
      <c r="G37" s="21">
        <v>5</v>
      </c>
      <c r="H37" s="21">
        <v>4</v>
      </c>
      <c r="I37" s="21">
        <f>G37-H37</f>
        <v>1</v>
      </c>
      <c r="J37" s="21" t="s">
        <v>30</v>
      </c>
      <c r="K37" s="21" t="s">
        <v>30</v>
      </c>
      <c r="L37" s="21" t="s">
        <v>109</v>
      </c>
      <c r="M37" s="21" t="s">
        <v>32</v>
      </c>
      <c r="N37" s="21" t="s">
        <v>33</v>
      </c>
      <c r="O37" s="3"/>
      <c r="P37" s="41">
        <v>0</v>
      </c>
      <c r="Q37" s="41">
        <v>0</v>
      </c>
      <c r="R37" s="41">
        <v>0</v>
      </c>
      <c r="S37" s="41">
        <v>0</v>
      </c>
      <c r="T37" s="42">
        <v>0</v>
      </c>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20"/>
    </row>
    <row r="38" spans="1:68" s="2" customFormat="1" ht="75" customHeight="1" x14ac:dyDescent="0.2">
      <c r="A38" s="53"/>
      <c r="B38" s="1"/>
      <c r="C38" s="40" t="s">
        <v>26</v>
      </c>
      <c r="D38" s="21"/>
      <c r="E38" s="21" t="s">
        <v>110</v>
      </c>
      <c r="F38" s="21" t="s">
        <v>88</v>
      </c>
      <c r="G38" s="21">
        <v>4</v>
      </c>
      <c r="H38" s="21">
        <v>4</v>
      </c>
      <c r="I38" s="21">
        <f>G38-H38</f>
        <v>0</v>
      </c>
      <c r="J38" s="21" t="s">
        <v>30</v>
      </c>
      <c r="K38" s="21" t="s">
        <v>30</v>
      </c>
      <c r="L38" s="21"/>
      <c r="M38" s="21"/>
      <c r="N38" s="21" t="s">
        <v>37</v>
      </c>
      <c r="O38" s="3"/>
      <c r="P38" s="41">
        <v>0</v>
      </c>
      <c r="Q38" s="41">
        <v>0</v>
      </c>
      <c r="R38" s="41">
        <v>0</v>
      </c>
      <c r="S38" s="41">
        <v>0</v>
      </c>
      <c r="T38" s="42">
        <v>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0"/>
    </row>
    <row r="39" spans="1:68" s="2" customFormat="1" ht="30" customHeight="1" x14ac:dyDescent="0.2">
      <c r="A39" s="53"/>
      <c r="B39" s="1" t="s">
        <v>111</v>
      </c>
      <c r="C39" s="40"/>
      <c r="D39" s="21"/>
      <c r="E39" s="379" t="s">
        <v>38</v>
      </c>
      <c r="F39" s="380"/>
      <c r="G39" s="22">
        <f>SUM(G37:G38)/2</f>
        <v>4.5</v>
      </c>
      <c r="H39" s="22">
        <f>SUM(H37:H38)/2</f>
        <v>4</v>
      </c>
      <c r="I39" s="22">
        <f>SUM(I37:I38)/2</f>
        <v>0.5</v>
      </c>
      <c r="J39" s="23" t="s">
        <v>16</v>
      </c>
      <c r="K39" s="391"/>
      <c r="L39" s="392"/>
      <c r="M39" s="392"/>
      <c r="N39" s="393"/>
      <c r="O39" s="24"/>
      <c r="P39" s="375">
        <v>0</v>
      </c>
      <c r="Q39" s="375"/>
      <c r="R39" s="375"/>
      <c r="S39" s="375"/>
      <c r="T39" s="375"/>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20"/>
    </row>
    <row r="40" spans="1:68" s="2" customFormat="1" ht="40.15" customHeight="1" x14ac:dyDescent="0.2">
      <c r="A40" s="53"/>
      <c r="B40" s="1"/>
      <c r="C40" s="36"/>
      <c r="D40" s="385" t="s">
        <v>112</v>
      </c>
      <c r="E40" s="386"/>
      <c r="F40" s="386"/>
      <c r="G40" s="386"/>
      <c r="H40" s="386"/>
      <c r="I40" s="386"/>
      <c r="J40" s="386"/>
      <c r="K40" s="386"/>
      <c r="L40" s="386"/>
      <c r="M40" s="386"/>
      <c r="N40" s="387"/>
      <c r="O40" s="3"/>
      <c r="P40" s="37">
        <v>0</v>
      </c>
      <c r="Q40" s="38">
        <v>0</v>
      </c>
      <c r="R40" s="37">
        <v>0</v>
      </c>
      <c r="S40" s="38">
        <v>0</v>
      </c>
      <c r="T40" s="39">
        <v>0</v>
      </c>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0"/>
    </row>
    <row r="41" spans="1:68" s="2" customFormat="1" ht="75" customHeight="1" x14ac:dyDescent="0.2">
      <c r="A41" s="53"/>
      <c r="B41" s="1"/>
      <c r="C41" s="40" t="s">
        <v>26</v>
      </c>
      <c r="D41" s="21" t="s">
        <v>113</v>
      </c>
      <c r="E41" s="21" t="s">
        <v>114</v>
      </c>
      <c r="F41" s="21" t="s">
        <v>115</v>
      </c>
      <c r="G41" s="21">
        <v>3</v>
      </c>
      <c r="H41" s="21">
        <v>4</v>
      </c>
      <c r="I41" s="21">
        <f>G41-H41</f>
        <v>-1</v>
      </c>
      <c r="J41" s="21" t="s">
        <v>30</v>
      </c>
      <c r="K41" s="21" t="s">
        <v>30</v>
      </c>
      <c r="L41" s="21" t="s">
        <v>116</v>
      </c>
      <c r="M41" s="21"/>
      <c r="N41" s="21" t="s">
        <v>117</v>
      </c>
      <c r="O41" s="3"/>
      <c r="P41" s="41">
        <v>0</v>
      </c>
      <c r="Q41" s="41">
        <v>0</v>
      </c>
      <c r="R41" s="41">
        <v>0</v>
      </c>
      <c r="S41" s="41">
        <v>0</v>
      </c>
      <c r="T41" s="42">
        <v>0</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0"/>
    </row>
    <row r="42" spans="1:68" s="2" customFormat="1" ht="75" customHeight="1" x14ac:dyDescent="0.2">
      <c r="A42" s="53"/>
      <c r="B42" s="1"/>
      <c r="C42" s="40" t="s">
        <v>26</v>
      </c>
      <c r="D42" s="21"/>
      <c r="E42" s="21" t="s">
        <v>118</v>
      </c>
      <c r="F42" s="21" t="s">
        <v>119</v>
      </c>
      <c r="G42" s="21">
        <v>1</v>
      </c>
      <c r="H42" s="21">
        <v>4</v>
      </c>
      <c r="I42" s="21">
        <f t="shared" ref="I42:I47" si="1">G42-H42</f>
        <v>-3</v>
      </c>
      <c r="J42" s="21" t="s">
        <v>30</v>
      </c>
      <c r="K42" s="21" t="s">
        <v>30</v>
      </c>
      <c r="L42" s="21" t="s">
        <v>116</v>
      </c>
      <c r="M42" s="21"/>
      <c r="N42" s="21" t="s">
        <v>120</v>
      </c>
      <c r="O42" s="3"/>
      <c r="P42" s="41">
        <v>0</v>
      </c>
      <c r="Q42" s="41">
        <v>0</v>
      </c>
      <c r="R42" s="41">
        <v>0</v>
      </c>
      <c r="S42" s="41">
        <v>0</v>
      </c>
      <c r="T42" s="42">
        <v>0</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20"/>
    </row>
    <row r="43" spans="1:68" s="2" customFormat="1" ht="75" customHeight="1" x14ac:dyDescent="0.2">
      <c r="A43" s="53"/>
      <c r="B43" s="1"/>
      <c r="C43" s="40" t="s">
        <v>26</v>
      </c>
      <c r="D43" s="21"/>
      <c r="E43" s="21" t="s">
        <v>121</v>
      </c>
      <c r="F43" s="21" t="s">
        <v>122</v>
      </c>
      <c r="G43" s="21">
        <v>3</v>
      </c>
      <c r="H43" s="21">
        <v>4</v>
      </c>
      <c r="I43" s="21">
        <f t="shared" si="1"/>
        <v>-1</v>
      </c>
      <c r="J43" s="21" t="s">
        <v>30</v>
      </c>
      <c r="K43" s="21" t="s">
        <v>30</v>
      </c>
      <c r="L43" s="21" t="s">
        <v>116</v>
      </c>
      <c r="M43" s="21"/>
      <c r="N43" s="21" t="s">
        <v>86</v>
      </c>
      <c r="O43" s="3"/>
      <c r="P43" s="41">
        <v>0</v>
      </c>
      <c r="Q43" s="41">
        <v>0</v>
      </c>
      <c r="R43" s="41">
        <v>0</v>
      </c>
      <c r="S43" s="41">
        <v>0</v>
      </c>
      <c r="T43" s="42">
        <v>0</v>
      </c>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20"/>
    </row>
    <row r="44" spans="1:68" s="2" customFormat="1" ht="75" customHeight="1" x14ac:dyDescent="0.2">
      <c r="A44" s="53"/>
      <c r="B44" s="1"/>
      <c r="C44" s="40" t="s">
        <v>26</v>
      </c>
      <c r="D44" s="21"/>
      <c r="E44" s="21" t="s">
        <v>123</v>
      </c>
      <c r="F44" s="21" t="s">
        <v>124</v>
      </c>
      <c r="G44" s="21">
        <v>3</v>
      </c>
      <c r="H44" s="21">
        <v>4</v>
      </c>
      <c r="I44" s="21">
        <f t="shared" si="1"/>
        <v>-1</v>
      </c>
      <c r="J44" s="21" t="s">
        <v>30</v>
      </c>
      <c r="K44" s="21" t="s">
        <v>30</v>
      </c>
      <c r="L44" s="21" t="s">
        <v>116</v>
      </c>
      <c r="M44" s="21"/>
      <c r="N44" s="21" t="s">
        <v>86</v>
      </c>
      <c r="O44" s="3"/>
      <c r="P44" s="41">
        <v>0</v>
      </c>
      <c r="Q44" s="41">
        <v>0</v>
      </c>
      <c r="R44" s="41">
        <v>0</v>
      </c>
      <c r="S44" s="41">
        <v>0</v>
      </c>
      <c r="T44" s="42">
        <v>0</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0"/>
    </row>
    <row r="45" spans="1:68" s="2" customFormat="1" ht="75" customHeight="1" x14ac:dyDescent="0.2">
      <c r="A45" s="53"/>
      <c r="B45" s="1"/>
      <c r="C45" s="40" t="s">
        <v>26</v>
      </c>
      <c r="D45" s="21"/>
      <c r="E45" s="21" t="s">
        <v>125</v>
      </c>
      <c r="F45" s="21" t="s">
        <v>126</v>
      </c>
      <c r="G45" s="21">
        <v>2</v>
      </c>
      <c r="H45" s="21">
        <v>4</v>
      </c>
      <c r="I45" s="21">
        <f t="shared" si="1"/>
        <v>-2</v>
      </c>
      <c r="J45" s="21" t="s">
        <v>30</v>
      </c>
      <c r="K45" s="21" t="s">
        <v>30</v>
      </c>
      <c r="L45" s="21"/>
      <c r="M45" s="21"/>
      <c r="N45" s="21" t="s">
        <v>127</v>
      </c>
      <c r="O45" s="3"/>
      <c r="P45" s="41">
        <v>0</v>
      </c>
      <c r="Q45" s="41">
        <v>0</v>
      </c>
      <c r="R45" s="41">
        <v>0</v>
      </c>
      <c r="S45" s="41">
        <v>0</v>
      </c>
      <c r="T45" s="42">
        <v>0</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0"/>
    </row>
    <row r="46" spans="1:68" s="2" customFormat="1" ht="75" customHeight="1" x14ac:dyDescent="0.2">
      <c r="A46" s="53"/>
      <c r="B46" s="1"/>
      <c r="C46" s="40" t="s">
        <v>26</v>
      </c>
      <c r="D46" s="21" t="s">
        <v>128</v>
      </c>
      <c r="E46" s="21" t="s">
        <v>129</v>
      </c>
      <c r="F46" s="21" t="s">
        <v>130</v>
      </c>
      <c r="G46" s="21">
        <v>4</v>
      </c>
      <c r="H46" s="21">
        <v>4</v>
      </c>
      <c r="I46" s="21">
        <f t="shared" si="1"/>
        <v>0</v>
      </c>
      <c r="J46" s="21" t="s">
        <v>30</v>
      </c>
      <c r="K46" s="21" t="s">
        <v>30</v>
      </c>
      <c r="L46" s="21"/>
      <c r="M46" s="21"/>
      <c r="N46" s="21" t="s">
        <v>33</v>
      </c>
      <c r="O46" s="3"/>
      <c r="P46" s="41">
        <v>0</v>
      </c>
      <c r="Q46" s="41">
        <v>0</v>
      </c>
      <c r="R46" s="41">
        <v>0</v>
      </c>
      <c r="S46" s="41">
        <v>0</v>
      </c>
      <c r="T46" s="42">
        <v>0</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20"/>
    </row>
    <row r="47" spans="1:68" s="2" customFormat="1" ht="75" customHeight="1" x14ac:dyDescent="0.2">
      <c r="A47" s="53"/>
      <c r="B47" s="1"/>
      <c r="C47" s="40" t="s">
        <v>26</v>
      </c>
      <c r="D47" s="21"/>
      <c r="E47" s="21" t="s">
        <v>131</v>
      </c>
      <c r="F47" s="21" t="s">
        <v>132</v>
      </c>
      <c r="G47" s="21">
        <v>2</v>
      </c>
      <c r="H47" s="21">
        <v>4</v>
      </c>
      <c r="I47" s="21">
        <f t="shared" si="1"/>
        <v>-2</v>
      </c>
      <c r="J47" s="21" t="s">
        <v>30</v>
      </c>
      <c r="K47" s="21" t="s">
        <v>30</v>
      </c>
      <c r="L47" s="21" t="s">
        <v>133</v>
      </c>
      <c r="M47" s="21"/>
      <c r="N47" s="21" t="s">
        <v>120</v>
      </c>
      <c r="O47" s="3"/>
      <c r="P47" s="41">
        <v>0</v>
      </c>
      <c r="Q47" s="41">
        <v>0</v>
      </c>
      <c r="R47" s="41">
        <v>0</v>
      </c>
      <c r="S47" s="41">
        <v>0</v>
      </c>
      <c r="T47" s="42">
        <v>0</v>
      </c>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0"/>
    </row>
    <row r="48" spans="1:68" s="2" customFormat="1" ht="30" customHeight="1" x14ac:dyDescent="0.2">
      <c r="A48" s="53"/>
      <c r="B48" s="1" t="s">
        <v>134</v>
      </c>
      <c r="C48" s="40"/>
      <c r="D48" s="21"/>
      <c r="E48" s="379" t="s">
        <v>38</v>
      </c>
      <c r="F48" s="380"/>
      <c r="G48" s="22">
        <f>SUM(G41:G47)/7</f>
        <v>2.5714285714285716</v>
      </c>
      <c r="H48" s="22">
        <f>SUM(H41:H47)/7</f>
        <v>4</v>
      </c>
      <c r="I48" s="22">
        <f>SUM(I41:I47)/7</f>
        <v>-1.4285714285714286</v>
      </c>
      <c r="J48" s="23" t="s">
        <v>16</v>
      </c>
      <c r="K48" s="391"/>
      <c r="L48" s="392"/>
      <c r="M48" s="392"/>
      <c r="N48" s="393"/>
      <c r="O48" s="24"/>
      <c r="P48" s="375">
        <v>0</v>
      </c>
      <c r="Q48" s="375"/>
      <c r="R48" s="375"/>
      <c r="S48" s="375"/>
      <c r="T48" s="375"/>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20"/>
    </row>
    <row r="49" spans="1:68" s="2" customFormat="1" ht="60" customHeight="1" x14ac:dyDescent="0.2">
      <c r="A49" s="53"/>
      <c r="B49" s="1"/>
      <c r="C49" s="36"/>
      <c r="D49" s="385" t="s">
        <v>135</v>
      </c>
      <c r="E49" s="386"/>
      <c r="F49" s="386"/>
      <c r="G49" s="386"/>
      <c r="H49" s="386"/>
      <c r="I49" s="386"/>
      <c r="J49" s="386"/>
      <c r="K49" s="386"/>
      <c r="L49" s="386"/>
      <c r="M49" s="386"/>
      <c r="N49" s="387"/>
      <c r="O49" s="3"/>
      <c r="P49" s="37">
        <v>0</v>
      </c>
      <c r="Q49" s="38">
        <v>0</v>
      </c>
      <c r="R49" s="37">
        <v>0</v>
      </c>
      <c r="S49" s="38">
        <v>0</v>
      </c>
      <c r="T49" s="39">
        <v>0</v>
      </c>
      <c r="U49" s="19"/>
      <c r="V49" s="19"/>
      <c r="W49" s="19"/>
      <c r="X49" s="19"/>
      <c r="Y49" s="19"/>
      <c r="Z49" s="19"/>
      <c r="AA49" s="19"/>
      <c r="AB49" s="19"/>
      <c r="AC49" s="19"/>
      <c r="AD49" s="19"/>
      <c r="AE49" s="19"/>
      <c r="AF49" s="19"/>
      <c r="AG49" s="19"/>
      <c r="AH49" s="19"/>
      <c r="AI49" s="19"/>
      <c r="AJ49" s="19"/>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7"/>
    </row>
    <row r="50" spans="1:68" s="2" customFormat="1" ht="109.5" customHeight="1" x14ac:dyDescent="0.2">
      <c r="A50" s="53"/>
      <c r="B50" s="1"/>
      <c r="C50" s="40" t="s">
        <v>26</v>
      </c>
      <c r="D50" s="21" t="s">
        <v>136</v>
      </c>
      <c r="E50" s="21" t="s">
        <v>137</v>
      </c>
      <c r="F50" s="21" t="s">
        <v>138</v>
      </c>
      <c r="G50" s="21">
        <v>3</v>
      </c>
      <c r="H50" s="21">
        <v>4</v>
      </c>
      <c r="I50" s="21">
        <f t="shared" ref="I50:I55" si="2">G50-H50</f>
        <v>-1</v>
      </c>
      <c r="J50" s="21" t="s">
        <v>30</v>
      </c>
      <c r="K50" s="21" t="s">
        <v>30</v>
      </c>
      <c r="L50" s="21" t="s">
        <v>139</v>
      </c>
      <c r="M50" s="21"/>
      <c r="N50" s="21" t="s">
        <v>120</v>
      </c>
      <c r="O50" s="3"/>
      <c r="P50" s="41">
        <v>0</v>
      </c>
      <c r="Q50" s="41">
        <v>0</v>
      </c>
      <c r="R50" s="41">
        <v>0</v>
      </c>
      <c r="S50" s="41">
        <v>0</v>
      </c>
      <c r="T50" s="42">
        <v>0</v>
      </c>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0"/>
    </row>
    <row r="51" spans="1:68" s="2" customFormat="1" ht="75" customHeight="1" x14ac:dyDescent="0.2">
      <c r="A51" s="53"/>
      <c r="B51" s="1"/>
      <c r="C51" s="40" t="s">
        <v>26</v>
      </c>
      <c r="D51" s="21"/>
      <c r="E51" s="21" t="s">
        <v>140</v>
      </c>
      <c r="F51" s="21" t="s">
        <v>141</v>
      </c>
      <c r="G51" s="21">
        <v>3</v>
      </c>
      <c r="H51" s="21">
        <v>4</v>
      </c>
      <c r="I51" s="21">
        <f t="shared" si="2"/>
        <v>-1</v>
      </c>
      <c r="J51" s="21" t="s">
        <v>30</v>
      </c>
      <c r="K51" s="21" t="s">
        <v>30</v>
      </c>
      <c r="L51" s="21" t="s">
        <v>133</v>
      </c>
      <c r="M51" s="21"/>
      <c r="N51" s="21" t="s">
        <v>142</v>
      </c>
      <c r="O51" s="3"/>
      <c r="P51" s="41">
        <v>0</v>
      </c>
      <c r="Q51" s="41">
        <v>0</v>
      </c>
      <c r="R51" s="41">
        <v>0</v>
      </c>
      <c r="S51" s="41">
        <v>0</v>
      </c>
      <c r="T51" s="42">
        <v>0</v>
      </c>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20"/>
    </row>
    <row r="52" spans="1:68" s="2" customFormat="1" ht="75" customHeight="1" x14ac:dyDescent="0.2">
      <c r="A52" s="53"/>
      <c r="B52" s="1"/>
      <c r="C52" s="40" t="s">
        <v>26</v>
      </c>
      <c r="D52" s="21" t="s">
        <v>143</v>
      </c>
      <c r="E52" s="21" t="s">
        <v>144</v>
      </c>
      <c r="F52" s="21" t="s">
        <v>145</v>
      </c>
      <c r="G52" s="21">
        <v>3</v>
      </c>
      <c r="H52" s="21">
        <v>4</v>
      </c>
      <c r="I52" s="21">
        <f t="shared" si="2"/>
        <v>-1</v>
      </c>
      <c r="J52" s="21" t="s">
        <v>30</v>
      </c>
      <c r="K52" s="21" t="s">
        <v>30</v>
      </c>
      <c r="L52" s="21" t="s">
        <v>146</v>
      </c>
      <c r="M52" s="21" t="s">
        <v>107</v>
      </c>
      <c r="N52" s="21" t="s">
        <v>147</v>
      </c>
      <c r="O52" s="3"/>
      <c r="P52" s="41">
        <v>0</v>
      </c>
      <c r="Q52" s="41">
        <v>0</v>
      </c>
      <c r="R52" s="41">
        <v>0</v>
      </c>
      <c r="S52" s="41">
        <v>0</v>
      </c>
      <c r="T52" s="42">
        <v>0</v>
      </c>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20"/>
    </row>
    <row r="53" spans="1:68" s="2" customFormat="1" ht="105" customHeight="1" x14ac:dyDescent="0.2">
      <c r="A53" s="53"/>
      <c r="B53" s="1"/>
      <c r="C53" s="40" t="s">
        <v>26</v>
      </c>
      <c r="D53" s="21"/>
      <c r="E53" s="21" t="s">
        <v>148</v>
      </c>
      <c r="F53" s="21" t="s">
        <v>149</v>
      </c>
      <c r="G53" s="21">
        <v>4</v>
      </c>
      <c r="H53" s="21">
        <v>4</v>
      </c>
      <c r="I53" s="21">
        <f t="shared" si="2"/>
        <v>0</v>
      </c>
      <c r="J53" s="21" t="s">
        <v>30</v>
      </c>
      <c r="K53" s="21" t="s">
        <v>30</v>
      </c>
      <c r="L53" s="21" t="s">
        <v>150</v>
      </c>
      <c r="M53" s="21"/>
      <c r="N53" s="21" t="s">
        <v>151</v>
      </c>
      <c r="O53" s="3"/>
      <c r="P53" s="41">
        <v>0</v>
      </c>
      <c r="Q53" s="41">
        <v>0</v>
      </c>
      <c r="R53" s="41">
        <v>0</v>
      </c>
      <c r="S53" s="41">
        <v>0</v>
      </c>
      <c r="T53" s="42">
        <v>0</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20"/>
    </row>
    <row r="54" spans="1:68" s="2" customFormat="1" ht="75" customHeight="1" x14ac:dyDescent="0.2">
      <c r="A54" s="53"/>
      <c r="B54" s="1"/>
      <c r="C54" s="40" t="s">
        <v>26</v>
      </c>
      <c r="D54" s="21"/>
      <c r="E54" s="21" t="s">
        <v>152</v>
      </c>
      <c r="F54" s="21" t="s">
        <v>153</v>
      </c>
      <c r="G54" s="21">
        <v>2</v>
      </c>
      <c r="H54" s="21">
        <v>4</v>
      </c>
      <c r="I54" s="21">
        <f t="shared" si="2"/>
        <v>-2</v>
      </c>
      <c r="J54" s="21" t="s">
        <v>30</v>
      </c>
      <c r="K54" s="21" t="s">
        <v>30</v>
      </c>
      <c r="L54" s="21" t="s">
        <v>154</v>
      </c>
      <c r="M54" s="21"/>
      <c r="N54" s="21" t="s">
        <v>120</v>
      </c>
      <c r="O54" s="3"/>
      <c r="P54" s="41">
        <v>0</v>
      </c>
      <c r="Q54" s="41">
        <v>0</v>
      </c>
      <c r="R54" s="41">
        <v>0</v>
      </c>
      <c r="S54" s="41">
        <v>0</v>
      </c>
      <c r="T54" s="42">
        <v>0</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20"/>
    </row>
    <row r="55" spans="1:68" s="2" customFormat="1" ht="75" customHeight="1" x14ac:dyDescent="0.2">
      <c r="A55" s="53"/>
      <c r="B55" s="1"/>
      <c r="C55" s="40" t="s">
        <v>26</v>
      </c>
      <c r="D55" s="21" t="s">
        <v>155</v>
      </c>
      <c r="E55" s="21" t="s">
        <v>156</v>
      </c>
      <c r="F55" s="21" t="s">
        <v>157</v>
      </c>
      <c r="G55" s="21">
        <v>1</v>
      </c>
      <c r="H55" s="21">
        <v>4</v>
      </c>
      <c r="I55" s="21">
        <f t="shared" si="2"/>
        <v>-3</v>
      </c>
      <c r="J55" s="21" t="s">
        <v>30</v>
      </c>
      <c r="K55" s="21" t="s">
        <v>30</v>
      </c>
      <c r="L55" s="21" t="s">
        <v>158</v>
      </c>
      <c r="M55" s="21"/>
      <c r="N55" s="21" t="s">
        <v>120</v>
      </c>
      <c r="O55" s="3"/>
      <c r="P55" s="41">
        <v>0</v>
      </c>
      <c r="Q55" s="41">
        <v>0</v>
      </c>
      <c r="R55" s="41">
        <v>0</v>
      </c>
      <c r="S55" s="41">
        <v>0</v>
      </c>
      <c r="T55" s="42">
        <v>0</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20"/>
    </row>
    <row r="56" spans="1:68" s="2" customFormat="1" ht="30" customHeight="1" x14ac:dyDescent="0.2">
      <c r="A56" s="53"/>
      <c r="B56" s="1" t="s">
        <v>159</v>
      </c>
      <c r="C56" s="40"/>
      <c r="D56" s="21"/>
      <c r="E56" s="379" t="s">
        <v>38</v>
      </c>
      <c r="F56" s="380"/>
      <c r="G56" s="22">
        <f>SUM(G50:G55)/6</f>
        <v>2.6666666666666665</v>
      </c>
      <c r="H56" s="22">
        <f>SUM(H50:H55)/6</f>
        <v>4</v>
      </c>
      <c r="I56" s="22">
        <f>SUM(I50:I55)/6</f>
        <v>-1.3333333333333333</v>
      </c>
      <c r="J56" s="23" t="s">
        <v>16</v>
      </c>
      <c r="K56" s="391"/>
      <c r="L56" s="392"/>
      <c r="M56" s="392"/>
      <c r="N56" s="393"/>
      <c r="O56" s="24"/>
      <c r="P56" s="375">
        <v>0</v>
      </c>
      <c r="Q56" s="375"/>
      <c r="R56" s="375"/>
      <c r="S56" s="375"/>
      <c r="T56" s="375"/>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20"/>
    </row>
    <row r="57" spans="1:68" s="2" customFormat="1" ht="40.15" customHeight="1" x14ac:dyDescent="0.2">
      <c r="A57" s="53"/>
      <c r="B57" s="1"/>
      <c r="C57" s="36"/>
      <c r="D57" s="385" t="s">
        <v>160</v>
      </c>
      <c r="E57" s="386"/>
      <c r="F57" s="386"/>
      <c r="G57" s="386"/>
      <c r="H57" s="386"/>
      <c r="I57" s="386"/>
      <c r="J57" s="386"/>
      <c r="K57" s="386"/>
      <c r="L57" s="386"/>
      <c r="M57" s="386"/>
      <c r="N57" s="387"/>
      <c r="O57" s="3"/>
      <c r="P57" s="37">
        <v>0</v>
      </c>
      <c r="Q57" s="38">
        <v>0</v>
      </c>
      <c r="R57" s="37">
        <v>0</v>
      </c>
      <c r="S57" s="38">
        <v>0</v>
      </c>
      <c r="T57" s="39">
        <v>0</v>
      </c>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20"/>
    </row>
    <row r="58" spans="1:68" s="2" customFormat="1" ht="75" customHeight="1" x14ac:dyDescent="0.2">
      <c r="A58" s="53"/>
      <c r="B58" s="1"/>
      <c r="C58" s="40" t="s">
        <v>26</v>
      </c>
      <c r="D58" s="21" t="s">
        <v>161</v>
      </c>
      <c r="E58" s="21" t="s">
        <v>162</v>
      </c>
      <c r="F58" s="21" t="s">
        <v>163</v>
      </c>
      <c r="G58" s="21">
        <v>2</v>
      </c>
      <c r="H58" s="21">
        <v>4</v>
      </c>
      <c r="I58" s="21">
        <f t="shared" ref="I58:I67" si="3">G58-H58</f>
        <v>-2</v>
      </c>
      <c r="J58" s="21" t="s">
        <v>30</v>
      </c>
      <c r="K58" s="21" t="s">
        <v>30</v>
      </c>
      <c r="L58" s="21" t="s">
        <v>164</v>
      </c>
      <c r="M58" s="21"/>
      <c r="N58" s="21" t="s">
        <v>165</v>
      </c>
      <c r="O58" s="3"/>
      <c r="P58" s="41">
        <v>0</v>
      </c>
      <c r="Q58" s="41">
        <v>0</v>
      </c>
      <c r="R58" s="41">
        <v>0</v>
      </c>
      <c r="S58" s="41">
        <v>0</v>
      </c>
      <c r="T58" s="42">
        <v>0</v>
      </c>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20"/>
    </row>
    <row r="59" spans="1:68" s="2" customFormat="1" ht="75" customHeight="1" x14ac:dyDescent="0.2">
      <c r="A59" s="53"/>
      <c r="B59" s="1"/>
      <c r="C59" s="40" t="s">
        <v>26</v>
      </c>
      <c r="D59" s="21"/>
      <c r="E59" s="21" t="s">
        <v>166</v>
      </c>
      <c r="F59" s="21" t="s">
        <v>167</v>
      </c>
      <c r="G59" s="21">
        <v>2</v>
      </c>
      <c r="H59" s="21">
        <v>4</v>
      </c>
      <c r="I59" s="21">
        <f t="shared" si="3"/>
        <v>-2</v>
      </c>
      <c r="J59" s="21" t="s">
        <v>30</v>
      </c>
      <c r="K59" s="21" t="s">
        <v>30</v>
      </c>
      <c r="L59" s="21" t="s">
        <v>164</v>
      </c>
      <c r="M59" s="21"/>
      <c r="N59" s="21" t="s">
        <v>165</v>
      </c>
      <c r="O59" s="3"/>
      <c r="P59" s="41">
        <v>0</v>
      </c>
      <c r="Q59" s="41">
        <v>0</v>
      </c>
      <c r="R59" s="41">
        <v>0</v>
      </c>
      <c r="S59" s="41">
        <v>0</v>
      </c>
      <c r="T59" s="42">
        <v>0</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20"/>
    </row>
    <row r="60" spans="1:68" s="2" customFormat="1" ht="75" customHeight="1" x14ac:dyDescent="0.2">
      <c r="A60" s="53"/>
      <c r="B60" s="1"/>
      <c r="C60" s="40" t="s">
        <v>26</v>
      </c>
      <c r="D60" s="21"/>
      <c r="E60" s="21" t="s">
        <v>168</v>
      </c>
      <c r="F60" s="21" t="s">
        <v>169</v>
      </c>
      <c r="G60" s="21">
        <v>2</v>
      </c>
      <c r="H60" s="21">
        <v>4</v>
      </c>
      <c r="I60" s="21">
        <f t="shared" si="3"/>
        <v>-2</v>
      </c>
      <c r="J60" s="21" t="s">
        <v>30</v>
      </c>
      <c r="K60" s="21" t="s">
        <v>30</v>
      </c>
      <c r="L60" s="21" t="s">
        <v>164</v>
      </c>
      <c r="M60" s="21"/>
      <c r="N60" s="21" t="s">
        <v>170</v>
      </c>
      <c r="O60" s="3"/>
      <c r="P60" s="41">
        <v>0</v>
      </c>
      <c r="Q60" s="41">
        <v>0</v>
      </c>
      <c r="R60" s="41">
        <v>0</v>
      </c>
      <c r="S60" s="41">
        <v>0</v>
      </c>
      <c r="T60" s="42">
        <v>0</v>
      </c>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20"/>
    </row>
    <row r="61" spans="1:68" s="2" customFormat="1" ht="75" customHeight="1" x14ac:dyDescent="0.2">
      <c r="A61" s="53"/>
      <c r="B61" s="1"/>
      <c r="C61" s="40" t="s">
        <v>26</v>
      </c>
      <c r="D61" s="21"/>
      <c r="E61" s="21" t="s">
        <v>171</v>
      </c>
      <c r="F61" s="21" t="s">
        <v>172</v>
      </c>
      <c r="G61" s="21">
        <v>2</v>
      </c>
      <c r="H61" s="21">
        <v>4</v>
      </c>
      <c r="I61" s="21">
        <f t="shared" si="3"/>
        <v>-2</v>
      </c>
      <c r="J61" s="21" t="s">
        <v>30</v>
      </c>
      <c r="K61" s="21" t="s">
        <v>30</v>
      </c>
      <c r="L61" s="21" t="s">
        <v>173</v>
      </c>
      <c r="M61" s="21"/>
      <c r="N61" s="21" t="s">
        <v>174</v>
      </c>
      <c r="O61" s="3"/>
      <c r="P61" s="41">
        <v>0</v>
      </c>
      <c r="Q61" s="41">
        <v>0</v>
      </c>
      <c r="R61" s="41">
        <v>0</v>
      </c>
      <c r="S61" s="41">
        <v>0</v>
      </c>
      <c r="T61" s="42">
        <v>0</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20"/>
    </row>
    <row r="62" spans="1:68" s="2" customFormat="1" ht="75" customHeight="1" x14ac:dyDescent="0.2">
      <c r="A62" s="53"/>
      <c r="B62" s="1"/>
      <c r="C62" s="40" t="s">
        <v>26</v>
      </c>
      <c r="D62" s="21" t="s">
        <v>175</v>
      </c>
      <c r="E62" s="21" t="s">
        <v>176</v>
      </c>
      <c r="F62" s="21" t="s">
        <v>177</v>
      </c>
      <c r="G62" s="21">
        <v>3</v>
      </c>
      <c r="H62" s="21">
        <v>4</v>
      </c>
      <c r="I62" s="21">
        <f t="shared" si="3"/>
        <v>-1</v>
      </c>
      <c r="J62" s="21" t="s">
        <v>30</v>
      </c>
      <c r="K62" s="21" t="s">
        <v>30</v>
      </c>
      <c r="L62" s="21" t="s">
        <v>178</v>
      </c>
      <c r="M62" s="21"/>
      <c r="N62" s="21" t="s">
        <v>179</v>
      </c>
      <c r="O62" s="3"/>
      <c r="P62" s="41">
        <v>0</v>
      </c>
      <c r="Q62" s="41">
        <v>0</v>
      </c>
      <c r="R62" s="41">
        <v>0</v>
      </c>
      <c r="S62" s="41">
        <v>0</v>
      </c>
      <c r="T62" s="42">
        <v>0</v>
      </c>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20"/>
    </row>
    <row r="63" spans="1:68" s="2" customFormat="1" ht="75" customHeight="1" x14ac:dyDescent="0.2">
      <c r="A63" s="53"/>
      <c r="B63" s="1"/>
      <c r="C63" s="40" t="s">
        <v>26</v>
      </c>
      <c r="D63" s="21"/>
      <c r="E63" s="21" t="s">
        <v>180</v>
      </c>
      <c r="F63" s="21" t="s">
        <v>181</v>
      </c>
      <c r="G63" s="21">
        <v>3</v>
      </c>
      <c r="H63" s="21">
        <v>4</v>
      </c>
      <c r="I63" s="21">
        <f t="shared" si="3"/>
        <v>-1</v>
      </c>
      <c r="J63" s="21" t="s">
        <v>30</v>
      </c>
      <c r="K63" s="21" t="s">
        <v>30</v>
      </c>
      <c r="L63" s="21" t="s">
        <v>178</v>
      </c>
      <c r="M63" s="21"/>
      <c r="N63" s="21" t="s">
        <v>179</v>
      </c>
      <c r="O63" s="3"/>
      <c r="P63" s="41">
        <v>0</v>
      </c>
      <c r="Q63" s="41">
        <v>0</v>
      </c>
      <c r="R63" s="41">
        <v>0</v>
      </c>
      <c r="S63" s="41">
        <v>0</v>
      </c>
      <c r="T63" s="42">
        <v>0</v>
      </c>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20"/>
    </row>
    <row r="64" spans="1:68" s="2" customFormat="1" ht="75" customHeight="1" x14ac:dyDescent="0.2">
      <c r="A64" s="53"/>
      <c r="B64" s="1"/>
      <c r="C64" s="40" t="s">
        <v>26</v>
      </c>
      <c r="D64" s="21"/>
      <c r="E64" s="21" t="s">
        <v>182</v>
      </c>
      <c r="F64" s="21" t="s">
        <v>183</v>
      </c>
      <c r="G64" s="21">
        <v>2</v>
      </c>
      <c r="H64" s="21">
        <v>4</v>
      </c>
      <c r="I64" s="21">
        <f t="shared" si="3"/>
        <v>-2</v>
      </c>
      <c r="J64" s="21" t="s">
        <v>30</v>
      </c>
      <c r="K64" s="21" t="s">
        <v>30</v>
      </c>
      <c r="L64" s="21" t="s">
        <v>178</v>
      </c>
      <c r="M64" s="21"/>
      <c r="N64" s="21" t="s">
        <v>184</v>
      </c>
      <c r="O64" s="3"/>
      <c r="P64" s="41">
        <v>0</v>
      </c>
      <c r="Q64" s="41">
        <v>0</v>
      </c>
      <c r="R64" s="41">
        <v>0</v>
      </c>
      <c r="S64" s="41">
        <v>0</v>
      </c>
      <c r="T64" s="42">
        <v>0</v>
      </c>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20"/>
    </row>
    <row r="65" spans="1:68" s="2" customFormat="1" ht="75" customHeight="1" x14ac:dyDescent="0.2">
      <c r="A65" s="53"/>
      <c r="B65" s="1"/>
      <c r="C65" s="40" t="s">
        <v>26</v>
      </c>
      <c r="D65" s="21" t="s">
        <v>185</v>
      </c>
      <c r="E65" s="21" t="s">
        <v>186</v>
      </c>
      <c r="F65" s="21" t="s">
        <v>187</v>
      </c>
      <c r="G65" s="21">
        <v>3</v>
      </c>
      <c r="H65" s="21">
        <v>4</v>
      </c>
      <c r="I65" s="21">
        <f t="shared" si="3"/>
        <v>-1</v>
      </c>
      <c r="J65" s="21" t="s">
        <v>30</v>
      </c>
      <c r="K65" s="21" t="s">
        <v>30</v>
      </c>
      <c r="L65" s="21" t="s">
        <v>178</v>
      </c>
      <c r="M65" s="21"/>
      <c r="N65" s="21" t="s">
        <v>188</v>
      </c>
      <c r="O65" s="3"/>
      <c r="P65" s="41">
        <v>0</v>
      </c>
      <c r="Q65" s="41">
        <v>0</v>
      </c>
      <c r="R65" s="41">
        <v>0</v>
      </c>
      <c r="S65" s="41">
        <v>0</v>
      </c>
      <c r="T65" s="42">
        <v>0</v>
      </c>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20"/>
    </row>
    <row r="66" spans="1:68" s="2" customFormat="1" ht="75" customHeight="1" x14ac:dyDescent="0.2">
      <c r="A66" s="53"/>
      <c r="B66" s="1"/>
      <c r="C66" s="40" t="s">
        <v>26</v>
      </c>
      <c r="D66" s="21"/>
      <c r="E66" s="21" t="s">
        <v>189</v>
      </c>
      <c r="F66" s="21" t="s">
        <v>190</v>
      </c>
      <c r="G66" s="21">
        <v>3</v>
      </c>
      <c r="H66" s="21">
        <v>4</v>
      </c>
      <c r="I66" s="21">
        <f t="shared" si="3"/>
        <v>-1</v>
      </c>
      <c r="J66" s="21" t="s">
        <v>30</v>
      </c>
      <c r="K66" s="21" t="s">
        <v>30</v>
      </c>
      <c r="L66" s="21" t="s">
        <v>178</v>
      </c>
      <c r="M66" s="21"/>
      <c r="N66" s="21" t="s">
        <v>188</v>
      </c>
      <c r="O66" s="3"/>
      <c r="P66" s="41">
        <v>0</v>
      </c>
      <c r="Q66" s="41">
        <v>0</v>
      </c>
      <c r="R66" s="41">
        <v>0</v>
      </c>
      <c r="S66" s="41">
        <v>0</v>
      </c>
      <c r="T66" s="42">
        <v>0</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20"/>
    </row>
    <row r="67" spans="1:68" s="2" customFormat="1" ht="75" customHeight="1" x14ac:dyDescent="0.2">
      <c r="A67" s="53"/>
      <c r="B67" s="1"/>
      <c r="C67" s="40" t="s">
        <v>26</v>
      </c>
      <c r="D67" s="21"/>
      <c r="E67" s="21" t="s">
        <v>191</v>
      </c>
      <c r="F67" s="21" t="s">
        <v>192</v>
      </c>
      <c r="G67" s="21">
        <v>3</v>
      </c>
      <c r="H67" s="21">
        <v>4</v>
      </c>
      <c r="I67" s="21">
        <f t="shared" si="3"/>
        <v>-1</v>
      </c>
      <c r="J67" s="21" t="s">
        <v>30</v>
      </c>
      <c r="K67" s="21" t="s">
        <v>30</v>
      </c>
      <c r="L67" s="21" t="s">
        <v>178</v>
      </c>
      <c r="M67" s="21"/>
      <c r="N67" s="21" t="s">
        <v>188</v>
      </c>
      <c r="O67" s="3"/>
      <c r="P67" s="41">
        <v>0</v>
      </c>
      <c r="Q67" s="41">
        <v>0</v>
      </c>
      <c r="R67" s="41">
        <v>0</v>
      </c>
      <c r="S67" s="41">
        <v>0</v>
      </c>
      <c r="T67" s="42">
        <v>0</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20"/>
    </row>
    <row r="68" spans="1:68" s="2" customFormat="1" ht="101.25" hidden="1" customHeight="1" x14ac:dyDescent="0.2">
      <c r="A68" s="53"/>
      <c r="B68" s="1"/>
      <c r="C68" s="43" t="s">
        <v>90</v>
      </c>
      <c r="D68" s="25"/>
      <c r="E68" s="25" t="s">
        <v>193</v>
      </c>
      <c r="F68" s="25" t="s">
        <v>194</v>
      </c>
      <c r="G68" s="25" t="s">
        <v>93</v>
      </c>
      <c r="H68" s="25" t="s">
        <v>93</v>
      </c>
      <c r="I68" s="25" t="s">
        <v>93</v>
      </c>
      <c r="J68" s="25" t="s">
        <v>30</v>
      </c>
      <c r="K68" s="25"/>
      <c r="L68" s="25"/>
      <c r="M68" s="25" t="s">
        <v>195</v>
      </c>
      <c r="N68" s="25" t="s">
        <v>95</v>
      </c>
      <c r="O68" s="3"/>
      <c r="P68" s="41">
        <v>0</v>
      </c>
      <c r="Q68" s="41">
        <v>0</v>
      </c>
      <c r="R68" s="41">
        <v>0</v>
      </c>
      <c r="S68" s="41">
        <v>0</v>
      </c>
      <c r="T68" s="42">
        <v>0</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20"/>
    </row>
    <row r="69" spans="1:68" s="2" customFormat="1" ht="75" hidden="1" customHeight="1" x14ac:dyDescent="0.2">
      <c r="A69" s="53"/>
      <c r="B69" s="1"/>
      <c r="C69" s="43" t="s">
        <v>90</v>
      </c>
      <c r="D69" s="25"/>
      <c r="E69" s="25" t="s">
        <v>193</v>
      </c>
      <c r="F69" s="25" t="s">
        <v>196</v>
      </c>
      <c r="G69" s="25" t="s">
        <v>93</v>
      </c>
      <c r="H69" s="25" t="s">
        <v>93</v>
      </c>
      <c r="I69" s="25" t="s">
        <v>93</v>
      </c>
      <c r="J69" s="25" t="s">
        <v>30</v>
      </c>
      <c r="K69" s="25"/>
      <c r="L69" s="25"/>
      <c r="M69" s="25"/>
      <c r="N69" s="25" t="s">
        <v>95</v>
      </c>
      <c r="O69" s="3"/>
      <c r="P69" s="41">
        <v>0</v>
      </c>
      <c r="Q69" s="41">
        <v>0</v>
      </c>
      <c r="R69" s="41">
        <v>0</v>
      </c>
      <c r="S69" s="41">
        <v>0</v>
      </c>
      <c r="T69" s="42">
        <v>0</v>
      </c>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20"/>
    </row>
    <row r="70" spans="1:68" s="2" customFormat="1" ht="75" hidden="1" customHeight="1" x14ac:dyDescent="0.2">
      <c r="A70" s="53"/>
      <c r="B70" s="1"/>
      <c r="C70" s="43" t="s">
        <v>90</v>
      </c>
      <c r="D70" s="25"/>
      <c r="E70" s="25" t="s">
        <v>193</v>
      </c>
      <c r="F70" s="25" t="s">
        <v>197</v>
      </c>
      <c r="G70" s="25" t="s">
        <v>93</v>
      </c>
      <c r="H70" s="25" t="s">
        <v>93</v>
      </c>
      <c r="I70" s="25" t="s">
        <v>93</v>
      </c>
      <c r="J70" s="25" t="s">
        <v>30</v>
      </c>
      <c r="K70" s="25"/>
      <c r="L70" s="25"/>
      <c r="M70" s="25"/>
      <c r="N70" s="25" t="s">
        <v>95</v>
      </c>
      <c r="O70" s="3"/>
      <c r="P70" s="41">
        <v>0</v>
      </c>
      <c r="Q70" s="41">
        <v>0</v>
      </c>
      <c r="R70" s="41">
        <v>0</v>
      </c>
      <c r="S70" s="41">
        <v>0</v>
      </c>
      <c r="T70" s="42">
        <v>0</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20"/>
    </row>
    <row r="71" spans="1:68" s="2" customFormat="1" ht="75" hidden="1" customHeight="1" x14ac:dyDescent="0.2">
      <c r="A71" s="53"/>
      <c r="B71" s="1"/>
      <c r="C71" s="43" t="s">
        <v>90</v>
      </c>
      <c r="D71" s="25"/>
      <c r="E71" s="25" t="s">
        <v>193</v>
      </c>
      <c r="F71" s="25" t="s">
        <v>198</v>
      </c>
      <c r="G71" s="25" t="s">
        <v>93</v>
      </c>
      <c r="H71" s="25" t="s">
        <v>93</v>
      </c>
      <c r="I71" s="25" t="s">
        <v>93</v>
      </c>
      <c r="J71" s="25" t="s">
        <v>30</v>
      </c>
      <c r="K71" s="25"/>
      <c r="L71" s="25"/>
      <c r="M71" s="25"/>
      <c r="N71" s="25" t="s">
        <v>98</v>
      </c>
      <c r="O71" s="3"/>
      <c r="P71" s="41">
        <v>0</v>
      </c>
      <c r="Q71" s="41">
        <v>0</v>
      </c>
      <c r="R71" s="41">
        <v>0</v>
      </c>
      <c r="S71" s="41">
        <v>0</v>
      </c>
      <c r="T71" s="42">
        <v>0</v>
      </c>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20"/>
    </row>
    <row r="72" spans="1:68" s="2" customFormat="1" ht="99" hidden="1" customHeight="1" x14ac:dyDescent="0.2">
      <c r="A72" s="53"/>
      <c r="B72" s="1"/>
      <c r="C72" s="43" t="s">
        <v>99</v>
      </c>
      <c r="D72" s="25"/>
      <c r="E72" s="25" t="s">
        <v>193</v>
      </c>
      <c r="F72" s="25" t="s">
        <v>199</v>
      </c>
      <c r="G72" s="25" t="s">
        <v>93</v>
      </c>
      <c r="H72" s="25" t="s">
        <v>93</v>
      </c>
      <c r="I72" s="25" t="s">
        <v>93</v>
      </c>
      <c r="J72" s="25" t="s">
        <v>30</v>
      </c>
      <c r="K72" s="25"/>
      <c r="L72" s="25"/>
      <c r="M72" s="25" t="s">
        <v>200</v>
      </c>
      <c r="N72" s="25" t="s">
        <v>98</v>
      </c>
      <c r="O72" s="3"/>
      <c r="P72" s="41">
        <v>0</v>
      </c>
      <c r="Q72" s="41">
        <v>0</v>
      </c>
      <c r="R72" s="41">
        <v>0</v>
      </c>
      <c r="S72" s="41">
        <v>0</v>
      </c>
      <c r="T72" s="42">
        <v>0</v>
      </c>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20"/>
    </row>
    <row r="73" spans="1:68" s="2" customFormat="1" ht="75" hidden="1" customHeight="1" x14ac:dyDescent="0.2">
      <c r="A73" s="53"/>
      <c r="B73" s="1"/>
      <c r="C73" s="43" t="s">
        <v>90</v>
      </c>
      <c r="D73" s="25"/>
      <c r="E73" s="25" t="s">
        <v>193</v>
      </c>
      <c r="F73" s="25" t="s">
        <v>201</v>
      </c>
      <c r="G73" s="25" t="s">
        <v>93</v>
      </c>
      <c r="H73" s="25" t="s">
        <v>93</v>
      </c>
      <c r="I73" s="25" t="s">
        <v>93</v>
      </c>
      <c r="J73" s="25" t="s">
        <v>30</v>
      </c>
      <c r="K73" s="25"/>
      <c r="L73" s="25"/>
      <c r="M73" s="25"/>
      <c r="N73" s="25" t="s">
        <v>98</v>
      </c>
      <c r="O73" s="3"/>
      <c r="P73" s="41">
        <v>0</v>
      </c>
      <c r="Q73" s="41">
        <v>0</v>
      </c>
      <c r="R73" s="41">
        <v>0</v>
      </c>
      <c r="S73" s="41">
        <v>0</v>
      </c>
      <c r="T73" s="42">
        <v>0</v>
      </c>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20"/>
    </row>
    <row r="74" spans="1:68" s="2" customFormat="1" ht="75" hidden="1" customHeight="1" x14ac:dyDescent="0.2">
      <c r="A74" s="53"/>
      <c r="B74" s="1"/>
      <c r="C74" s="43" t="s">
        <v>90</v>
      </c>
      <c r="D74" s="25"/>
      <c r="E74" s="25" t="s">
        <v>193</v>
      </c>
      <c r="F74" s="25" t="s">
        <v>202</v>
      </c>
      <c r="G74" s="25" t="s">
        <v>93</v>
      </c>
      <c r="H74" s="25" t="s">
        <v>93</v>
      </c>
      <c r="I74" s="25" t="s">
        <v>93</v>
      </c>
      <c r="J74" s="25" t="s">
        <v>30</v>
      </c>
      <c r="K74" s="25"/>
      <c r="L74" s="25"/>
      <c r="M74" s="25"/>
      <c r="N74" s="25" t="s">
        <v>103</v>
      </c>
      <c r="O74" s="3"/>
      <c r="P74" s="41">
        <v>0</v>
      </c>
      <c r="Q74" s="41">
        <v>0</v>
      </c>
      <c r="R74" s="41">
        <v>0</v>
      </c>
      <c r="S74" s="41">
        <v>0</v>
      </c>
      <c r="T74" s="42">
        <v>0</v>
      </c>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20"/>
    </row>
    <row r="75" spans="1:68" s="2" customFormat="1" ht="30" customHeight="1" x14ac:dyDescent="0.2">
      <c r="A75" s="53"/>
      <c r="B75" s="1" t="s">
        <v>203</v>
      </c>
      <c r="C75" s="40"/>
      <c r="D75" s="21"/>
      <c r="E75" s="379" t="s">
        <v>38</v>
      </c>
      <c r="F75" s="380"/>
      <c r="G75" s="22">
        <f>SUM(G58:G67)/10</f>
        <v>2.5</v>
      </c>
      <c r="H75" s="22">
        <f>SUM(H58:H67)/10</f>
        <v>4</v>
      </c>
      <c r="I75" s="22">
        <f>SUM(I58:I67)/10</f>
        <v>-1.5</v>
      </c>
      <c r="J75" s="23" t="s">
        <v>16</v>
      </c>
      <c r="K75" s="391"/>
      <c r="L75" s="392"/>
      <c r="M75" s="392"/>
      <c r="N75" s="393"/>
      <c r="O75" s="24"/>
      <c r="P75" s="375">
        <v>0</v>
      </c>
      <c r="Q75" s="375"/>
      <c r="R75" s="375"/>
      <c r="S75" s="375"/>
      <c r="T75" s="375"/>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20"/>
    </row>
    <row r="76" spans="1:68" s="2" customFormat="1" ht="37.5" customHeight="1" x14ac:dyDescent="0.2">
      <c r="A76" s="53"/>
      <c r="B76" s="1"/>
      <c r="C76" s="36"/>
      <c r="D76" s="385" t="s">
        <v>204</v>
      </c>
      <c r="E76" s="386"/>
      <c r="F76" s="386"/>
      <c r="G76" s="386"/>
      <c r="H76" s="386"/>
      <c r="I76" s="386"/>
      <c r="J76" s="386"/>
      <c r="K76" s="386"/>
      <c r="L76" s="386"/>
      <c r="M76" s="386"/>
      <c r="N76" s="387"/>
      <c r="O76" s="3"/>
      <c r="P76" s="37">
        <v>0</v>
      </c>
      <c r="Q76" s="38">
        <v>0</v>
      </c>
      <c r="R76" s="37">
        <v>0</v>
      </c>
      <c r="S76" s="38">
        <v>0</v>
      </c>
      <c r="T76" s="39">
        <v>0</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20"/>
    </row>
    <row r="77" spans="1:68" s="2" customFormat="1" ht="75" customHeight="1" x14ac:dyDescent="0.2">
      <c r="A77" s="53"/>
      <c r="B77" s="1"/>
      <c r="C77" s="40" t="s">
        <v>26</v>
      </c>
      <c r="D77" s="21" t="s">
        <v>205</v>
      </c>
      <c r="E77" s="28" t="s">
        <v>206</v>
      </c>
      <c r="F77" s="28" t="s">
        <v>207</v>
      </c>
      <c r="G77" s="21">
        <v>3</v>
      </c>
      <c r="H77" s="21">
        <v>4</v>
      </c>
      <c r="I77" s="21">
        <f t="shared" ref="I77:I90" si="4">G77-H77</f>
        <v>-1</v>
      </c>
      <c r="J77" s="21" t="s">
        <v>30</v>
      </c>
      <c r="K77" s="21" t="s">
        <v>30</v>
      </c>
      <c r="L77" s="21" t="s">
        <v>178</v>
      </c>
      <c r="M77" s="21"/>
      <c r="N77" s="21" t="s">
        <v>208</v>
      </c>
      <c r="O77" s="3"/>
      <c r="P77" s="41">
        <v>0</v>
      </c>
      <c r="Q77" s="41">
        <v>0</v>
      </c>
      <c r="R77" s="41">
        <v>0</v>
      </c>
      <c r="S77" s="41">
        <v>0</v>
      </c>
      <c r="T77" s="42">
        <v>0</v>
      </c>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20"/>
    </row>
    <row r="78" spans="1:68" s="2" customFormat="1" ht="75" customHeight="1" x14ac:dyDescent="0.2">
      <c r="A78" s="53"/>
      <c r="B78" s="1"/>
      <c r="C78" s="40" t="s">
        <v>26</v>
      </c>
      <c r="D78" s="21"/>
      <c r="E78" s="28" t="s">
        <v>209</v>
      </c>
      <c r="F78" s="28" t="s">
        <v>210</v>
      </c>
      <c r="G78" s="21">
        <v>3</v>
      </c>
      <c r="H78" s="21">
        <v>4</v>
      </c>
      <c r="I78" s="21">
        <f t="shared" si="4"/>
        <v>-1</v>
      </c>
      <c r="J78" s="21" t="s">
        <v>30</v>
      </c>
      <c r="K78" s="21" t="s">
        <v>30</v>
      </c>
      <c r="L78" s="21" t="s">
        <v>211</v>
      </c>
      <c r="M78" s="21"/>
      <c r="N78" s="21" t="s">
        <v>212</v>
      </c>
      <c r="O78" s="3"/>
      <c r="P78" s="41">
        <v>0</v>
      </c>
      <c r="Q78" s="41">
        <v>0</v>
      </c>
      <c r="R78" s="41">
        <v>0</v>
      </c>
      <c r="S78" s="41">
        <v>0</v>
      </c>
      <c r="T78" s="42">
        <v>0</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20"/>
    </row>
    <row r="79" spans="1:68" s="2" customFormat="1" ht="75" customHeight="1" x14ac:dyDescent="0.2">
      <c r="A79" s="53"/>
      <c r="B79" s="1"/>
      <c r="C79" s="40" t="s">
        <v>26</v>
      </c>
      <c r="D79" s="21" t="s">
        <v>213</v>
      </c>
      <c r="E79" s="28" t="s">
        <v>214</v>
      </c>
      <c r="F79" s="21" t="s">
        <v>215</v>
      </c>
      <c r="G79" s="21">
        <v>3</v>
      </c>
      <c r="H79" s="21">
        <v>4</v>
      </c>
      <c r="I79" s="21">
        <f t="shared" si="4"/>
        <v>-1</v>
      </c>
      <c r="J79" s="21" t="s">
        <v>30</v>
      </c>
      <c r="K79" s="21" t="s">
        <v>30</v>
      </c>
      <c r="L79" s="21" t="s">
        <v>211</v>
      </c>
      <c r="M79" s="21"/>
      <c r="N79" s="21" t="s">
        <v>174</v>
      </c>
      <c r="O79" s="3"/>
      <c r="P79" s="41">
        <v>0</v>
      </c>
      <c r="Q79" s="41">
        <v>0</v>
      </c>
      <c r="R79" s="41">
        <v>0</v>
      </c>
      <c r="S79" s="41">
        <v>0</v>
      </c>
      <c r="T79" s="42">
        <v>0</v>
      </c>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20"/>
    </row>
    <row r="80" spans="1:68" s="2" customFormat="1" ht="75" customHeight="1" x14ac:dyDescent="0.2">
      <c r="A80" s="53"/>
      <c r="B80" s="1"/>
      <c r="C80" s="40" t="s">
        <v>26</v>
      </c>
      <c r="D80" s="21"/>
      <c r="E80" s="28" t="s">
        <v>216</v>
      </c>
      <c r="F80" s="21" t="s">
        <v>217</v>
      </c>
      <c r="G80" s="21">
        <v>2</v>
      </c>
      <c r="H80" s="21">
        <v>4</v>
      </c>
      <c r="I80" s="21">
        <f t="shared" si="4"/>
        <v>-2</v>
      </c>
      <c r="J80" s="21" t="s">
        <v>30</v>
      </c>
      <c r="K80" s="21" t="s">
        <v>30</v>
      </c>
      <c r="L80" s="21" t="s">
        <v>218</v>
      </c>
      <c r="M80" s="21"/>
      <c r="N80" s="21" t="s">
        <v>219</v>
      </c>
      <c r="O80" s="3"/>
      <c r="P80" s="41">
        <v>0</v>
      </c>
      <c r="Q80" s="41">
        <v>0</v>
      </c>
      <c r="R80" s="41">
        <v>0</v>
      </c>
      <c r="S80" s="41">
        <v>0</v>
      </c>
      <c r="T80" s="42">
        <v>0</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20"/>
    </row>
    <row r="81" spans="1:68" s="2" customFormat="1" ht="75" customHeight="1" x14ac:dyDescent="0.2">
      <c r="A81" s="53"/>
      <c r="B81" s="1"/>
      <c r="C81" s="40" t="s">
        <v>26</v>
      </c>
      <c r="D81" s="21"/>
      <c r="E81" s="28" t="s">
        <v>220</v>
      </c>
      <c r="F81" s="28" t="s">
        <v>221</v>
      </c>
      <c r="G81" s="21">
        <v>3</v>
      </c>
      <c r="H81" s="21">
        <v>4</v>
      </c>
      <c r="I81" s="21">
        <f t="shared" si="4"/>
        <v>-1</v>
      </c>
      <c r="J81" s="21" t="s">
        <v>30</v>
      </c>
      <c r="K81" s="21" t="s">
        <v>30</v>
      </c>
      <c r="L81" s="21" t="s">
        <v>211</v>
      </c>
      <c r="M81" s="21"/>
      <c r="N81" s="21" t="s">
        <v>222</v>
      </c>
      <c r="O81" s="3"/>
      <c r="P81" s="41">
        <v>0</v>
      </c>
      <c r="Q81" s="41">
        <v>0</v>
      </c>
      <c r="R81" s="41">
        <v>0</v>
      </c>
      <c r="S81" s="41">
        <v>0</v>
      </c>
      <c r="T81" s="42">
        <v>0</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20"/>
    </row>
    <row r="82" spans="1:68" s="2" customFormat="1" ht="108" customHeight="1" x14ac:dyDescent="0.2">
      <c r="A82" s="53"/>
      <c r="B82" s="1"/>
      <c r="C82" s="40" t="s">
        <v>26</v>
      </c>
      <c r="D82" s="21"/>
      <c r="E82" s="28" t="s">
        <v>223</v>
      </c>
      <c r="F82" s="28" t="s">
        <v>224</v>
      </c>
      <c r="G82" s="21">
        <v>2</v>
      </c>
      <c r="H82" s="21">
        <v>4</v>
      </c>
      <c r="I82" s="21">
        <f t="shared" si="4"/>
        <v>-2</v>
      </c>
      <c r="J82" s="21" t="s">
        <v>30</v>
      </c>
      <c r="K82" s="21" t="s">
        <v>30</v>
      </c>
      <c r="L82" s="21" t="s">
        <v>218</v>
      </c>
      <c r="M82" s="21"/>
      <c r="N82" s="21" t="s">
        <v>212</v>
      </c>
      <c r="O82" s="3"/>
      <c r="P82" s="41">
        <v>0</v>
      </c>
      <c r="Q82" s="41">
        <v>0</v>
      </c>
      <c r="R82" s="41">
        <v>0</v>
      </c>
      <c r="S82" s="41">
        <v>0</v>
      </c>
      <c r="T82" s="42">
        <v>0</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20"/>
    </row>
    <row r="83" spans="1:68" s="2" customFormat="1" ht="75" customHeight="1" x14ac:dyDescent="0.2">
      <c r="A83" s="53"/>
      <c r="B83" s="1"/>
      <c r="C83" s="40" t="s">
        <v>26</v>
      </c>
      <c r="D83" s="21"/>
      <c r="E83" s="28" t="s">
        <v>225</v>
      </c>
      <c r="F83" s="28" t="s">
        <v>226</v>
      </c>
      <c r="G83" s="21">
        <v>1</v>
      </c>
      <c r="H83" s="21">
        <v>4</v>
      </c>
      <c r="I83" s="21">
        <f t="shared" si="4"/>
        <v>-3</v>
      </c>
      <c r="J83" s="21" t="s">
        <v>30</v>
      </c>
      <c r="K83" s="21" t="s">
        <v>30</v>
      </c>
      <c r="L83" s="21" t="s">
        <v>227</v>
      </c>
      <c r="M83" s="21"/>
      <c r="N83" s="21" t="s">
        <v>228</v>
      </c>
      <c r="O83" s="3"/>
      <c r="P83" s="41">
        <v>0</v>
      </c>
      <c r="Q83" s="41">
        <v>0</v>
      </c>
      <c r="R83" s="41">
        <v>0</v>
      </c>
      <c r="S83" s="41">
        <v>0</v>
      </c>
      <c r="T83" s="42">
        <v>0</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20"/>
    </row>
    <row r="84" spans="1:68" s="2" customFormat="1" ht="98.25" customHeight="1" x14ac:dyDescent="0.2">
      <c r="A84" s="53"/>
      <c r="B84" s="1"/>
      <c r="C84" s="40" t="s">
        <v>26</v>
      </c>
      <c r="D84" s="21"/>
      <c r="E84" s="28" t="s">
        <v>229</v>
      </c>
      <c r="F84" s="28" t="s">
        <v>230</v>
      </c>
      <c r="G84" s="21">
        <v>3</v>
      </c>
      <c r="H84" s="21">
        <v>4</v>
      </c>
      <c r="I84" s="21">
        <f t="shared" si="4"/>
        <v>-1</v>
      </c>
      <c r="J84" s="21" t="s">
        <v>30</v>
      </c>
      <c r="K84" s="21" t="s">
        <v>30</v>
      </c>
      <c r="L84" s="21" t="s">
        <v>211</v>
      </c>
      <c r="M84" s="21"/>
      <c r="N84" s="21" t="s">
        <v>174</v>
      </c>
      <c r="O84" s="3"/>
      <c r="P84" s="41">
        <v>0</v>
      </c>
      <c r="Q84" s="41">
        <v>0</v>
      </c>
      <c r="R84" s="41">
        <v>0</v>
      </c>
      <c r="S84" s="41">
        <v>0</v>
      </c>
      <c r="T84" s="42">
        <v>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20"/>
    </row>
    <row r="85" spans="1:68" s="2" customFormat="1" ht="75" customHeight="1" x14ac:dyDescent="0.2">
      <c r="A85" s="53"/>
      <c r="B85" s="1"/>
      <c r="C85" s="40" t="s">
        <v>26</v>
      </c>
      <c r="D85" s="21" t="s">
        <v>231</v>
      </c>
      <c r="E85" s="28" t="s">
        <v>232</v>
      </c>
      <c r="F85" s="28" t="s">
        <v>233</v>
      </c>
      <c r="G85" s="21">
        <v>1</v>
      </c>
      <c r="H85" s="21">
        <v>4</v>
      </c>
      <c r="I85" s="21">
        <f t="shared" si="4"/>
        <v>-3</v>
      </c>
      <c r="J85" s="21" t="s">
        <v>30</v>
      </c>
      <c r="K85" s="21" t="s">
        <v>30</v>
      </c>
      <c r="L85" s="21" t="s">
        <v>227</v>
      </c>
      <c r="M85" s="21"/>
      <c r="N85" s="21" t="s">
        <v>212</v>
      </c>
      <c r="O85" s="3"/>
      <c r="P85" s="41">
        <v>0</v>
      </c>
      <c r="Q85" s="41">
        <v>0</v>
      </c>
      <c r="R85" s="41">
        <v>0</v>
      </c>
      <c r="S85" s="41">
        <v>0</v>
      </c>
      <c r="T85" s="42">
        <v>0</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20"/>
    </row>
    <row r="86" spans="1:68" s="2" customFormat="1" ht="75" customHeight="1" x14ac:dyDescent="0.2">
      <c r="A86" s="53"/>
      <c r="B86" s="1"/>
      <c r="C86" s="40" t="s">
        <v>26</v>
      </c>
      <c r="D86" s="21" t="s">
        <v>234</v>
      </c>
      <c r="E86" s="28" t="s">
        <v>235</v>
      </c>
      <c r="F86" s="28" t="s">
        <v>236</v>
      </c>
      <c r="G86" s="21">
        <v>2</v>
      </c>
      <c r="H86" s="21">
        <v>4</v>
      </c>
      <c r="I86" s="21">
        <f t="shared" si="4"/>
        <v>-2</v>
      </c>
      <c r="J86" s="21" t="s">
        <v>30</v>
      </c>
      <c r="K86" s="21" t="s">
        <v>30</v>
      </c>
      <c r="L86" s="21" t="s">
        <v>218</v>
      </c>
      <c r="M86" s="21"/>
      <c r="N86" s="21" t="s">
        <v>222</v>
      </c>
      <c r="O86" s="3"/>
      <c r="P86" s="41">
        <v>0</v>
      </c>
      <c r="Q86" s="41">
        <v>0</v>
      </c>
      <c r="R86" s="41">
        <v>0</v>
      </c>
      <c r="S86" s="41">
        <v>0</v>
      </c>
      <c r="T86" s="42">
        <v>0</v>
      </c>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20"/>
    </row>
    <row r="87" spans="1:68" s="2" customFormat="1" ht="75" customHeight="1" x14ac:dyDescent="0.2">
      <c r="A87" s="53"/>
      <c r="B87" s="1"/>
      <c r="C87" s="40" t="s">
        <v>26</v>
      </c>
      <c r="D87" s="21"/>
      <c r="E87" s="28" t="s">
        <v>237</v>
      </c>
      <c r="F87" s="28" t="s">
        <v>238</v>
      </c>
      <c r="G87" s="21">
        <v>3</v>
      </c>
      <c r="H87" s="21">
        <v>4</v>
      </c>
      <c r="I87" s="21">
        <f t="shared" si="4"/>
        <v>-1</v>
      </c>
      <c r="J87" s="21" t="s">
        <v>30</v>
      </c>
      <c r="K87" s="21" t="s">
        <v>30</v>
      </c>
      <c r="L87" s="21" t="s">
        <v>239</v>
      </c>
      <c r="M87" s="21"/>
      <c r="N87" s="21" t="s">
        <v>208</v>
      </c>
      <c r="O87" s="3"/>
      <c r="P87" s="41">
        <v>0</v>
      </c>
      <c r="Q87" s="41">
        <v>0</v>
      </c>
      <c r="R87" s="41">
        <v>0</v>
      </c>
      <c r="S87" s="41">
        <v>0</v>
      </c>
      <c r="T87" s="42">
        <v>0</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20"/>
    </row>
    <row r="88" spans="1:68" s="2" customFormat="1" ht="75" customHeight="1" x14ac:dyDescent="0.2">
      <c r="A88" s="53"/>
      <c r="B88" s="1"/>
      <c r="C88" s="40" t="s">
        <v>26</v>
      </c>
      <c r="D88" s="21"/>
      <c r="E88" s="28" t="s">
        <v>240</v>
      </c>
      <c r="F88" s="28" t="s">
        <v>241</v>
      </c>
      <c r="G88" s="21">
        <v>3</v>
      </c>
      <c r="H88" s="21">
        <v>4</v>
      </c>
      <c r="I88" s="21">
        <f t="shared" si="4"/>
        <v>-1</v>
      </c>
      <c r="J88" s="21" t="s">
        <v>30</v>
      </c>
      <c r="K88" s="21" t="s">
        <v>30</v>
      </c>
      <c r="L88" s="21" t="s">
        <v>242</v>
      </c>
      <c r="M88" s="21"/>
      <c r="N88" s="21" t="s">
        <v>208</v>
      </c>
      <c r="O88" s="3"/>
      <c r="P88" s="41">
        <v>0</v>
      </c>
      <c r="Q88" s="41">
        <v>0</v>
      </c>
      <c r="R88" s="41">
        <v>0</v>
      </c>
      <c r="S88" s="41">
        <v>0</v>
      </c>
      <c r="T88" s="42">
        <v>0</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20"/>
    </row>
    <row r="89" spans="1:68" s="2" customFormat="1" ht="75" customHeight="1" x14ac:dyDescent="0.2">
      <c r="A89" s="53"/>
      <c r="B89" s="1"/>
      <c r="C89" s="40" t="s">
        <v>26</v>
      </c>
      <c r="D89" s="21"/>
      <c r="E89" s="28" t="s">
        <v>243</v>
      </c>
      <c r="F89" s="28" t="s">
        <v>244</v>
      </c>
      <c r="G89" s="21">
        <v>2</v>
      </c>
      <c r="H89" s="21">
        <v>4</v>
      </c>
      <c r="I89" s="21">
        <f t="shared" si="4"/>
        <v>-2</v>
      </c>
      <c r="J89" s="21" t="s">
        <v>30</v>
      </c>
      <c r="K89" s="21" t="s">
        <v>30</v>
      </c>
      <c r="L89" s="21" t="s">
        <v>218</v>
      </c>
      <c r="M89" s="21"/>
      <c r="N89" s="21" t="s">
        <v>208</v>
      </c>
      <c r="O89" s="3"/>
      <c r="P89" s="41">
        <v>0</v>
      </c>
      <c r="Q89" s="41">
        <v>0</v>
      </c>
      <c r="R89" s="41">
        <v>0</v>
      </c>
      <c r="S89" s="41">
        <v>0</v>
      </c>
      <c r="T89" s="42">
        <v>0</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20"/>
    </row>
    <row r="90" spans="1:68" s="2" customFormat="1" ht="75" customHeight="1" x14ac:dyDescent="0.2">
      <c r="A90" s="53"/>
      <c r="B90" s="1"/>
      <c r="C90" s="40" t="s">
        <v>26</v>
      </c>
      <c r="D90" s="21"/>
      <c r="E90" s="28" t="s">
        <v>245</v>
      </c>
      <c r="F90" s="28" t="s">
        <v>246</v>
      </c>
      <c r="G90" s="21">
        <v>2</v>
      </c>
      <c r="H90" s="21">
        <v>4</v>
      </c>
      <c r="I90" s="21">
        <f t="shared" si="4"/>
        <v>-2</v>
      </c>
      <c r="J90" s="21" t="s">
        <v>30</v>
      </c>
      <c r="K90" s="21" t="s">
        <v>30</v>
      </c>
      <c r="L90" s="21" t="s">
        <v>218</v>
      </c>
      <c r="M90" s="21"/>
      <c r="N90" s="21" t="s">
        <v>208</v>
      </c>
      <c r="O90" s="3"/>
      <c r="P90" s="41">
        <v>0</v>
      </c>
      <c r="Q90" s="41">
        <v>0</v>
      </c>
      <c r="R90" s="41">
        <v>0</v>
      </c>
      <c r="S90" s="41">
        <v>0</v>
      </c>
      <c r="T90" s="42">
        <v>0</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20"/>
    </row>
    <row r="91" spans="1:68" s="2" customFormat="1" ht="98.25" hidden="1" customHeight="1" x14ac:dyDescent="0.2">
      <c r="A91" s="53"/>
      <c r="B91" s="1"/>
      <c r="C91" s="43" t="s">
        <v>90</v>
      </c>
      <c r="D91" s="25"/>
      <c r="E91" s="25" t="s">
        <v>247</v>
      </c>
      <c r="F91" s="25" t="s">
        <v>248</v>
      </c>
      <c r="G91" s="25" t="s">
        <v>93</v>
      </c>
      <c r="H91" s="25" t="s">
        <v>93</v>
      </c>
      <c r="I91" s="25" t="s">
        <v>93</v>
      </c>
      <c r="J91" s="25" t="s">
        <v>30</v>
      </c>
      <c r="K91" s="25"/>
      <c r="L91" s="25"/>
      <c r="M91" s="29" t="s">
        <v>249</v>
      </c>
      <c r="N91" s="25" t="s">
        <v>95</v>
      </c>
      <c r="O91" s="3"/>
      <c r="P91" s="41">
        <v>0</v>
      </c>
      <c r="Q91" s="41">
        <v>0</v>
      </c>
      <c r="R91" s="41">
        <v>0</v>
      </c>
      <c r="S91" s="41">
        <v>0</v>
      </c>
      <c r="T91" s="42">
        <v>0</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20"/>
    </row>
    <row r="92" spans="1:68" s="2" customFormat="1" ht="75" hidden="1" customHeight="1" x14ac:dyDescent="0.2">
      <c r="A92" s="53"/>
      <c r="B92" s="1"/>
      <c r="C92" s="43" t="s">
        <v>90</v>
      </c>
      <c r="D92" s="25"/>
      <c r="E92" s="25" t="s">
        <v>247</v>
      </c>
      <c r="F92" s="25" t="s">
        <v>250</v>
      </c>
      <c r="G92" s="25" t="s">
        <v>93</v>
      </c>
      <c r="H92" s="25" t="s">
        <v>93</v>
      </c>
      <c r="I92" s="25" t="s">
        <v>93</v>
      </c>
      <c r="J92" s="25" t="s">
        <v>30</v>
      </c>
      <c r="K92" s="25"/>
      <c r="L92" s="25"/>
      <c r="M92" s="25"/>
      <c r="N92" s="25" t="s">
        <v>95</v>
      </c>
      <c r="O92" s="3"/>
      <c r="P92" s="41">
        <v>0</v>
      </c>
      <c r="Q92" s="41">
        <v>0</v>
      </c>
      <c r="R92" s="41">
        <v>0</v>
      </c>
      <c r="S92" s="41">
        <v>0</v>
      </c>
      <c r="T92" s="42">
        <v>0</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20"/>
    </row>
    <row r="93" spans="1:68" s="2" customFormat="1" ht="75" hidden="1" customHeight="1" x14ac:dyDescent="0.2">
      <c r="A93" s="53"/>
      <c r="B93" s="1"/>
      <c r="C93" s="43" t="s">
        <v>90</v>
      </c>
      <c r="D93" s="25"/>
      <c r="E93" s="25" t="s">
        <v>247</v>
      </c>
      <c r="F93" s="25" t="s">
        <v>251</v>
      </c>
      <c r="G93" s="25" t="s">
        <v>93</v>
      </c>
      <c r="H93" s="25" t="s">
        <v>93</v>
      </c>
      <c r="I93" s="25" t="s">
        <v>93</v>
      </c>
      <c r="J93" s="25" t="s">
        <v>30</v>
      </c>
      <c r="K93" s="25"/>
      <c r="L93" s="25"/>
      <c r="M93" s="25"/>
      <c r="N93" s="25" t="s">
        <v>95</v>
      </c>
      <c r="O93" s="3"/>
      <c r="P93" s="41">
        <v>0</v>
      </c>
      <c r="Q93" s="41">
        <v>0</v>
      </c>
      <c r="R93" s="41">
        <v>0</v>
      </c>
      <c r="S93" s="41">
        <v>0</v>
      </c>
      <c r="T93" s="42">
        <v>0</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20"/>
    </row>
    <row r="94" spans="1:68" s="2" customFormat="1" ht="75" hidden="1" customHeight="1" x14ac:dyDescent="0.2">
      <c r="A94" s="53"/>
      <c r="B94" s="1"/>
      <c r="C94" s="43" t="s">
        <v>90</v>
      </c>
      <c r="D94" s="25"/>
      <c r="E94" s="25" t="s">
        <v>247</v>
      </c>
      <c r="F94" s="25" t="s">
        <v>252</v>
      </c>
      <c r="G94" s="25" t="s">
        <v>93</v>
      </c>
      <c r="H94" s="25" t="s">
        <v>93</v>
      </c>
      <c r="I94" s="25" t="s">
        <v>93</v>
      </c>
      <c r="J94" s="25" t="s">
        <v>30</v>
      </c>
      <c r="K94" s="25"/>
      <c r="L94" s="25"/>
      <c r="M94" s="25"/>
      <c r="N94" s="25" t="s">
        <v>253</v>
      </c>
      <c r="O94" s="3"/>
      <c r="P94" s="41">
        <v>0</v>
      </c>
      <c r="Q94" s="41">
        <v>0</v>
      </c>
      <c r="R94" s="41">
        <v>0</v>
      </c>
      <c r="S94" s="41">
        <v>0</v>
      </c>
      <c r="T94" s="42">
        <v>0</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20"/>
    </row>
    <row r="95" spans="1:68" s="2" customFormat="1" ht="102" hidden="1" customHeight="1" x14ac:dyDescent="0.2">
      <c r="A95" s="53"/>
      <c r="B95" s="1"/>
      <c r="C95" s="43" t="s">
        <v>99</v>
      </c>
      <c r="D95" s="25"/>
      <c r="E95" s="25" t="s">
        <v>247</v>
      </c>
      <c r="F95" s="25" t="s">
        <v>254</v>
      </c>
      <c r="G95" s="25" t="s">
        <v>93</v>
      </c>
      <c r="H95" s="25" t="s">
        <v>93</v>
      </c>
      <c r="I95" s="25" t="s">
        <v>93</v>
      </c>
      <c r="J95" s="25" t="s">
        <v>30</v>
      </c>
      <c r="K95" s="25"/>
      <c r="L95" s="25"/>
      <c r="M95" s="25" t="s">
        <v>255</v>
      </c>
      <c r="N95" s="25" t="s">
        <v>253</v>
      </c>
      <c r="O95" s="3"/>
      <c r="P95" s="41">
        <v>0</v>
      </c>
      <c r="Q95" s="41">
        <v>0</v>
      </c>
      <c r="R95" s="41">
        <v>0</v>
      </c>
      <c r="S95" s="41">
        <v>0</v>
      </c>
      <c r="T95" s="42">
        <v>0</v>
      </c>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20"/>
    </row>
    <row r="96" spans="1:68" s="2" customFormat="1" ht="75" hidden="1" customHeight="1" x14ac:dyDescent="0.2">
      <c r="A96" s="53"/>
      <c r="B96" s="1"/>
      <c r="C96" s="43" t="s">
        <v>90</v>
      </c>
      <c r="D96" s="25"/>
      <c r="E96" s="25" t="s">
        <v>247</v>
      </c>
      <c r="F96" s="25" t="s">
        <v>256</v>
      </c>
      <c r="G96" s="25" t="s">
        <v>93</v>
      </c>
      <c r="H96" s="25" t="s">
        <v>93</v>
      </c>
      <c r="I96" s="25" t="s">
        <v>93</v>
      </c>
      <c r="J96" s="25" t="s">
        <v>30</v>
      </c>
      <c r="K96" s="25"/>
      <c r="L96" s="25"/>
      <c r="M96" s="25"/>
      <c r="N96" s="25" t="s">
        <v>253</v>
      </c>
      <c r="O96" s="3"/>
      <c r="P96" s="41">
        <v>0</v>
      </c>
      <c r="Q96" s="41">
        <v>0</v>
      </c>
      <c r="R96" s="41">
        <v>0</v>
      </c>
      <c r="S96" s="41">
        <v>0</v>
      </c>
      <c r="T96" s="42">
        <v>0</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20"/>
    </row>
    <row r="97" spans="1:68" s="2" customFormat="1" ht="75" hidden="1" customHeight="1" x14ac:dyDescent="0.2">
      <c r="A97" s="53"/>
      <c r="B97" s="1"/>
      <c r="C97" s="43" t="s">
        <v>90</v>
      </c>
      <c r="D97" s="25"/>
      <c r="E97" s="25" t="s">
        <v>247</v>
      </c>
      <c r="F97" s="25" t="s">
        <v>257</v>
      </c>
      <c r="G97" s="25" t="s">
        <v>93</v>
      </c>
      <c r="H97" s="25" t="s">
        <v>93</v>
      </c>
      <c r="I97" s="25" t="s">
        <v>93</v>
      </c>
      <c r="J97" s="25" t="s">
        <v>30</v>
      </c>
      <c r="K97" s="25"/>
      <c r="L97" s="25"/>
      <c r="M97" s="25"/>
      <c r="N97" s="25" t="s">
        <v>258</v>
      </c>
      <c r="O97" s="3"/>
      <c r="P97" s="41">
        <v>0</v>
      </c>
      <c r="Q97" s="41">
        <v>0</v>
      </c>
      <c r="R97" s="41">
        <v>0</v>
      </c>
      <c r="S97" s="41">
        <v>0</v>
      </c>
      <c r="T97" s="42">
        <v>0</v>
      </c>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20"/>
    </row>
    <row r="98" spans="1:68" s="2" customFormat="1" ht="30" customHeight="1" x14ac:dyDescent="0.2">
      <c r="A98" s="53"/>
      <c r="B98" s="1" t="s">
        <v>259</v>
      </c>
      <c r="C98" s="40"/>
      <c r="D98" s="21"/>
      <c r="E98" s="379" t="s">
        <v>38</v>
      </c>
      <c r="F98" s="380"/>
      <c r="G98" s="22">
        <f>SUM(G77:G90)/14</f>
        <v>2.3571428571428572</v>
      </c>
      <c r="H98" s="22">
        <f>SUM(H77:H90)/14</f>
        <v>4</v>
      </c>
      <c r="I98" s="22">
        <f>SUM(I77:I90)/14</f>
        <v>-1.6428571428571428</v>
      </c>
      <c r="J98" s="23" t="s">
        <v>16</v>
      </c>
      <c r="K98" s="391"/>
      <c r="L98" s="392"/>
      <c r="M98" s="392"/>
      <c r="N98" s="393"/>
      <c r="O98" s="24"/>
      <c r="P98" s="375">
        <v>0</v>
      </c>
      <c r="Q98" s="375"/>
      <c r="R98" s="375"/>
      <c r="S98" s="375"/>
      <c r="T98" s="375"/>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20"/>
    </row>
    <row r="99" spans="1:68" s="2" customFormat="1" ht="30" customHeight="1" x14ac:dyDescent="0.2">
      <c r="A99" s="53"/>
      <c r="B99" s="1"/>
      <c r="C99" s="36"/>
      <c r="D99" s="385" t="s">
        <v>260</v>
      </c>
      <c r="E99" s="386"/>
      <c r="F99" s="386"/>
      <c r="G99" s="386"/>
      <c r="H99" s="386"/>
      <c r="I99" s="386"/>
      <c r="J99" s="386"/>
      <c r="K99" s="386"/>
      <c r="L99" s="386"/>
      <c r="M99" s="386"/>
      <c r="N99" s="387"/>
      <c r="O99" s="3"/>
      <c r="P99" s="37">
        <v>0</v>
      </c>
      <c r="Q99" s="38">
        <v>0</v>
      </c>
      <c r="R99" s="37">
        <v>0</v>
      </c>
      <c r="S99" s="38">
        <v>0</v>
      </c>
      <c r="T99" s="39">
        <v>0</v>
      </c>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20"/>
    </row>
    <row r="100" spans="1:68" s="2" customFormat="1" ht="75" customHeight="1" x14ac:dyDescent="0.2">
      <c r="A100" s="53"/>
      <c r="B100" s="1"/>
      <c r="C100" s="40" t="s">
        <v>26</v>
      </c>
      <c r="D100" s="21" t="s">
        <v>261</v>
      </c>
      <c r="E100" s="28" t="s">
        <v>262</v>
      </c>
      <c r="F100" s="28" t="s">
        <v>263</v>
      </c>
      <c r="G100" s="21">
        <v>2</v>
      </c>
      <c r="H100" s="21">
        <v>4</v>
      </c>
      <c r="I100" s="21">
        <f>G100-H100</f>
        <v>-2</v>
      </c>
      <c r="J100" s="21" t="s">
        <v>30</v>
      </c>
      <c r="K100" s="21" t="s">
        <v>30</v>
      </c>
      <c r="L100" s="21" t="s">
        <v>264</v>
      </c>
      <c r="M100" s="21"/>
      <c r="N100" s="21" t="s">
        <v>33</v>
      </c>
      <c r="O100" s="3"/>
      <c r="P100" s="41">
        <v>0</v>
      </c>
      <c r="Q100" s="41">
        <v>0</v>
      </c>
      <c r="R100" s="41">
        <v>0</v>
      </c>
      <c r="S100" s="41">
        <v>0</v>
      </c>
      <c r="T100" s="42">
        <v>0</v>
      </c>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20"/>
    </row>
    <row r="101" spans="1:68" s="2" customFormat="1" ht="75" customHeight="1" x14ac:dyDescent="0.2">
      <c r="A101" s="53"/>
      <c r="B101" s="1"/>
      <c r="C101" s="40" t="s">
        <v>26</v>
      </c>
      <c r="D101" s="21"/>
      <c r="E101" s="28" t="s">
        <v>265</v>
      </c>
      <c r="F101" s="28" t="s">
        <v>266</v>
      </c>
      <c r="G101" s="21">
        <v>2</v>
      </c>
      <c r="H101" s="21">
        <v>4</v>
      </c>
      <c r="I101" s="21">
        <f>G101-H101</f>
        <v>-2</v>
      </c>
      <c r="J101" s="21" t="s">
        <v>30</v>
      </c>
      <c r="K101" s="21" t="s">
        <v>30</v>
      </c>
      <c r="L101" s="21" t="s">
        <v>133</v>
      </c>
      <c r="M101" s="21"/>
      <c r="N101" s="21" t="s">
        <v>33</v>
      </c>
      <c r="O101" s="3"/>
      <c r="P101" s="41">
        <v>0</v>
      </c>
      <c r="Q101" s="41">
        <v>0</v>
      </c>
      <c r="R101" s="41">
        <v>0</v>
      </c>
      <c r="S101" s="41">
        <v>0</v>
      </c>
      <c r="T101" s="42">
        <v>0</v>
      </c>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20"/>
    </row>
    <row r="102" spans="1:68" s="2" customFormat="1" ht="30" customHeight="1" x14ac:dyDescent="0.2">
      <c r="A102" s="53"/>
      <c r="B102" s="1" t="s">
        <v>267</v>
      </c>
      <c r="C102" s="40"/>
      <c r="D102" s="21"/>
      <c r="E102" s="379" t="s">
        <v>38</v>
      </c>
      <c r="F102" s="380"/>
      <c r="G102" s="22">
        <f>SUM(G100:G101)/2</f>
        <v>2</v>
      </c>
      <c r="H102" s="22">
        <f>SUM(H100:H101)/2</f>
        <v>4</v>
      </c>
      <c r="I102" s="22">
        <f>SUM(I100:I101)/2</f>
        <v>-2</v>
      </c>
      <c r="J102" s="23" t="s">
        <v>16</v>
      </c>
      <c r="K102" s="391"/>
      <c r="L102" s="392"/>
      <c r="M102" s="392"/>
      <c r="N102" s="393"/>
      <c r="O102" s="24"/>
      <c r="P102" s="375">
        <v>0</v>
      </c>
      <c r="Q102" s="375"/>
      <c r="R102" s="375"/>
      <c r="S102" s="375"/>
      <c r="T102" s="375"/>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20"/>
    </row>
    <row r="103" spans="1:68" s="2" customFormat="1" ht="30" customHeight="1" x14ac:dyDescent="0.2">
      <c r="A103" s="53"/>
      <c r="B103" s="1"/>
      <c r="C103" s="36"/>
      <c r="D103" s="385" t="s">
        <v>268</v>
      </c>
      <c r="E103" s="386"/>
      <c r="F103" s="386"/>
      <c r="G103" s="386"/>
      <c r="H103" s="386"/>
      <c r="I103" s="386"/>
      <c r="J103" s="386"/>
      <c r="K103" s="386"/>
      <c r="L103" s="386"/>
      <c r="M103" s="386"/>
      <c r="N103" s="387"/>
      <c r="O103" s="3"/>
      <c r="P103" s="37">
        <v>0</v>
      </c>
      <c r="Q103" s="38">
        <v>0</v>
      </c>
      <c r="R103" s="37">
        <v>0</v>
      </c>
      <c r="S103" s="38">
        <v>0</v>
      </c>
      <c r="T103" s="39">
        <v>0</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20"/>
    </row>
    <row r="104" spans="1:68" s="2" customFormat="1" ht="75" customHeight="1" x14ac:dyDescent="0.2">
      <c r="A104" s="53"/>
      <c r="B104" s="1"/>
      <c r="C104" s="40" t="s">
        <v>26</v>
      </c>
      <c r="D104" s="21" t="s">
        <v>269</v>
      </c>
      <c r="E104" s="28" t="s">
        <v>270</v>
      </c>
      <c r="F104" s="28" t="s">
        <v>271</v>
      </c>
      <c r="G104" s="21">
        <v>2</v>
      </c>
      <c r="H104" s="21">
        <v>4</v>
      </c>
      <c r="I104" s="21">
        <f t="shared" ref="I104:I118" si="5">G104-H104</f>
        <v>-2</v>
      </c>
      <c r="J104" s="21" t="s">
        <v>30</v>
      </c>
      <c r="K104" s="21" t="s">
        <v>30</v>
      </c>
      <c r="L104" s="21" t="s">
        <v>272</v>
      </c>
      <c r="M104" s="21"/>
      <c r="N104" s="21" t="s">
        <v>273</v>
      </c>
      <c r="O104" s="3"/>
      <c r="P104" s="41">
        <v>0</v>
      </c>
      <c r="Q104" s="41">
        <v>0</v>
      </c>
      <c r="R104" s="41">
        <v>0</v>
      </c>
      <c r="S104" s="41">
        <v>0</v>
      </c>
      <c r="T104" s="42">
        <v>0</v>
      </c>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20"/>
    </row>
    <row r="105" spans="1:68" s="2" customFormat="1" ht="75" customHeight="1" x14ac:dyDescent="0.2">
      <c r="A105" s="53"/>
      <c r="B105" s="1"/>
      <c r="C105" s="40" t="s">
        <v>26</v>
      </c>
      <c r="D105" s="21"/>
      <c r="E105" s="28" t="s">
        <v>274</v>
      </c>
      <c r="F105" s="28" t="s">
        <v>275</v>
      </c>
      <c r="G105" s="21">
        <v>1</v>
      </c>
      <c r="H105" s="21">
        <v>4</v>
      </c>
      <c r="I105" s="21">
        <f t="shared" si="5"/>
        <v>-3</v>
      </c>
      <c r="J105" s="21" t="s">
        <v>30</v>
      </c>
      <c r="K105" s="21" t="s">
        <v>30</v>
      </c>
      <c r="L105" s="21" t="s">
        <v>276</v>
      </c>
      <c r="M105" s="21"/>
      <c r="N105" s="21" t="s">
        <v>273</v>
      </c>
      <c r="O105" s="3"/>
      <c r="P105" s="41">
        <v>0</v>
      </c>
      <c r="Q105" s="41">
        <v>0</v>
      </c>
      <c r="R105" s="41">
        <v>0</v>
      </c>
      <c r="S105" s="41">
        <v>0</v>
      </c>
      <c r="T105" s="42">
        <v>0</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20"/>
    </row>
    <row r="106" spans="1:68" s="2" customFormat="1" ht="75" customHeight="1" x14ac:dyDescent="0.2">
      <c r="A106" s="53"/>
      <c r="B106" s="1"/>
      <c r="C106" s="40" t="s">
        <v>26</v>
      </c>
      <c r="D106" s="21"/>
      <c r="E106" s="28" t="s">
        <v>277</v>
      </c>
      <c r="F106" s="28" t="s">
        <v>278</v>
      </c>
      <c r="G106" s="21">
        <v>1</v>
      </c>
      <c r="H106" s="21">
        <v>4</v>
      </c>
      <c r="I106" s="21">
        <f t="shared" si="5"/>
        <v>-3</v>
      </c>
      <c r="J106" s="21" t="s">
        <v>30</v>
      </c>
      <c r="K106" s="21" t="s">
        <v>30</v>
      </c>
      <c r="L106" s="21" t="s">
        <v>276</v>
      </c>
      <c r="M106" s="21"/>
      <c r="N106" s="21" t="s">
        <v>273</v>
      </c>
      <c r="O106" s="3"/>
      <c r="P106" s="41">
        <v>0</v>
      </c>
      <c r="Q106" s="41">
        <v>0</v>
      </c>
      <c r="R106" s="41">
        <v>0</v>
      </c>
      <c r="S106" s="41">
        <v>0</v>
      </c>
      <c r="T106" s="42">
        <v>0</v>
      </c>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20"/>
    </row>
    <row r="107" spans="1:68" s="2" customFormat="1" ht="96" customHeight="1" x14ac:dyDescent="0.2">
      <c r="A107" s="53"/>
      <c r="B107" s="1"/>
      <c r="C107" s="40" t="s">
        <v>26</v>
      </c>
      <c r="D107" s="21"/>
      <c r="E107" s="28" t="s">
        <v>279</v>
      </c>
      <c r="F107" s="28" t="s">
        <v>280</v>
      </c>
      <c r="G107" s="21">
        <v>1</v>
      </c>
      <c r="H107" s="21">
        <v>4</v>
      </c>
      <c r="I107" s="21">
        <f t="shared" si="5"/>
        <v>-3</v>
      </c>
      <c r="J107" s="21" t="s">
        <v>30</v>
      </c>
      <c r="K107" s="21" t="s">
        <v>30</v>
      </c>
      <c r="L107" s="21" t="s">
        <v>276</v>
      </c>
      <c r="M107" s="21"/>
      <c r="N107" s="21" t="s">
        <v>273</v>
      </c>
      <c r="O107" s="3"/>
      <c r="P107" s="41">
        <v>0</v>
      </c>
      <c r="Q107" s="41">
        <v>0</v>
      </c>
      <c r="R107" s="41">
        <v>0</v>
      </c>
      <c r="S107" s="41">
        <v>0</v>
      </c>
      <c r="T107" s="42">
        <v>0</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20"/>
    </row>
    <row r="108" spans="1:68" s="2" customFormat="1" ht="75" customHeight="1" x14ac:dyDescent="0.2">
      <c r="A108" s="53"/>
      <c r="B108" s="1"/>
      <c r="C108" s="40" t="s">
        <v>26</v>
      </c>
      <c r="D108" s="21"/>
      <c r="E108" s="28" t="s">
        <v>281</v>
      </c>
      <c r="F108" s="28" t="s">
        <v>282</v>
      </c>
      <c r="G108" s="21">
        <v>2</v>
      </c>
      <c r="H108" s="21">
        <v>4</v>
      </c>
      <c r="I108" s="21">
        <f t="shared" si="5"/>
        <v>-2</v>
      </c>
      <c r="J108" s="21" t="s">
        <v>30</v>
      </c>
      <c r="K108" s="21" t="s">
        <v>30</v>
      </c>
      <c r="L108" s="21" t="s">
        <v>276</v>
      </c>
      <c r="M108" s="21"/>
      <c r="N108" s="21" t="s">
        <v>273</v>
      </c>
      <c r="O108" s="3"/>
      <c r="P108" s="41">
        <v>0</v>
      </c>
      <c r="Q108" s="41">
        <v>0</v>
      </c>
      <c r="R108" s="41">
        <v>0</v>
      </c>
      <c r="S108" s="41">
        <v>0</v>
      </c>
      <c r="T108" s="42">
        <v>0</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20"/>
    </row>
    <row r="109" spans="1:68" s="2" customFormat="1" ht="97.15" customHeight="1" x14ac:dyDescent="0.2">
      <c r="A109" s="53"/>
      <c r="B109" s="1"/>
      <c r="C109" s="40" t="s">
        <v>26</v>
      </c>
      <c r="D109" s="21"/>
      <c r="E109" s="28" t="s">
        <v>283</v>
      </c>
      <c r="F109" s="28" t="s">
        <v>284</v>
      </c>
      <c r="G109" s="21">
        <v>1</v>
      </c>
      <c r="H109" s="21">
        <v>4</v>
      </c>
      <c r="I109" s="21">
        <f t="shared" si="5"/>
        <v>-3</v>
      </c>
      <c r="J109" s="21" t="s">
        <v>30</v>
      </c>
      <c r="K109" s="21" t="s">
        <v>30</v>
      </c>
      <c r="L109" s="21" t="s">
        <v>276</v>
      </c>
      <c r="M109" s="21"/>
      <c r="N109" s="21" t="s">
        <v>273</v>
      </c>
      <c r="O109" s="3"/>
      <c r="P109" s="41">
        <v>0</v>
      </c>
      <c r="Q109" s="41">
        <v>0</v>
      </c>
      <c r="R109" s="41">
        <v>0</v>
      </c>
      <c r="S109" s="41">
        <v>0</v>
      </c>
      <c r="T109" s="42">
        <v>0</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20"/>
    </row>
    <row r="110" spans="1:68" s="2" customFormat="1" ht="75" customHeight="1" x14ac:dyDescent="0.2">
      <c r="A110" s="53"/>
      <c r="B110" s="1"/>
      <c r="C110" s="40" t="s">
        <v>26</v>
      </c>
      <c r="D110" s="21" t="s">
        <v>285</v>
      </c>
      <c r="E110" s="28" t="s">
        <v>286</v>
      </c>
      <c r="F110" s="28" t="s">
        <v>287</v>
      </c>
      <c r="G110" s="21">
        <v>1</v>
      </c>
      <c r="H110" s="21">
        <v>4</v>
      </c>
      <c r="I110" s="21">
        <f t="shared" si="5"/>
        <v>-3</v>
      </c>
      <c r="J110" s="21" t="s">
        <v>30</v>
      </c>
      <c r="K110" s="21" t="s">
        <v>30</v>
      </c>
      <c r="L110" s="21" t="s">
        <v>276</v>
      </c>
      <c r="M110" s="21"/>
      <c r="N110" s="21" t="s">
        <v>273</v>
      </c>
      <c r="O110" s="3"/>
      <c r="P110" s="41">
        <v>0</v>
      </c>
      <c r="Q110" s="41">
        <v>0</v>
      </c>
      <c r="R110" s="41">
        <v>0</v>
      </c>
      <c r="S110" s="41">
        <v>0</v>
      </c>
      <c r="T110" s="42">
        <v>0</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1:68" s="2" customFormat="1" ht="75" customHeight="1" x14ac:dyDescent="0.2">
      <c r="A111" s="53"/>
      <c r="B111" s="1"/>
      <c r="C111" s="40" t="s">
        <v>26</v>
      </c>
      <c r="D111" s="21"/>
      <c r="E111" s="28" t="s">
        <v>288</v>
      </c>
      <c r="F111" s="28" t="s">
        <v>289</v>
      </c>
      <c r="G111" s="21">
        <v>3</v>
      </c>
      <c r="H111" s="21">
        <v>4</v>
      </c>
      <c r="I111" s="21">
        <f t="shared" si="5"/>
        <v>-1</v>
      </c>
      <c r="J111" s="21" t="s">
        <v>30</v>
      </c>
      <c r="K111" s="21" t="s">
        <v>30</v>
      </c>
      <c r="L111" s="21" t="s">
        <v>290</v>
      </c>
      <c r="M111" s="21"/>
      <c r="N111" s="21" t="s">
        <v>273</v>
      </c>
      <c r="O111" s="3"/>
      <c r="P111" s="41">
        <v>0</v>
      </c>
      <c r="Q111" s="41">
        <v>0</v>
      </c>
      <c r="R111" s="41">
        <v>0</v>
      </c>
      <c r="S111" s="41">
        <v>0</v>
      </c>
      <c r="T111" s="42">
        <v>0</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20"/>
    </row>
    <row r="112" spans="1:68" s="2" customFormat="1" ht="75" customHeight="1" x14ac:dyDescent="0.2">
      <c r="A112" s="53"/>
      <c r="B112" s="1"/>
      <c r="C112" s="40" t="s">
        <v>26</v>
      </c>
      <c r="D112" s="21"/>
      <c r="E112" s="28" t="s">
        <v>291</v>
      </c>
      <c r="F112" s="28" t="s">
        <v>292</v>
      </c>
      <c r="G112" s="21">
        <v>1</v>
      </c>
      <c r="H112" s="21">
        <v>4</v>
      </c>
      <c r="I112" s="21">
        <f t="shared" si="5"/>
        <v>-3</v>
      </c>
      <c r="J112" s="21" t="s">
        <v>30</v>
      </c>
      <c r="K112" s="21" t="s">
        <v>30</v>
      </c>
      <c r="L112" s="21" t="s">
        <v>133</v>
      </c>
      <c r="M112" s="21"/>
      <c r="N112" s="21" t="s">
        <v>273</v>
      </c>
      <c r="O112" s="3"/>
      <c r="P112" s="41">
        <v>0</v>
      </c>
      <c r="Q112" s="41">
        <v>0</v>
      </c>
      <c r="R112" s="41">
        <v>0</v>
      </c>
      <c r="S112" s="41">
        <v>0</v>
      </c>
      <c r="T112" s="42">
        <v>0</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20"/>
    </row>
    <row r="113" spans="1:68" s="2" customFormat="1" ht="75" customHeight="1" x14ac:dyDescent="0.2">
      <c r="A113" s="53"/>
      <c r="B113" s="1"/>
      <c r="C113" s="40" t="s">
        <v>26</v>
      </c>
      <c r="D113" s="21"/>
      <c r="E113" s="28" t="s">
        <v>293</v>
      </c>
      <c r="F113" s="28" t="s">
        <v>294</v>
      </c>
      <c r="G113" s="21">
        <v>3</v>
      </c>
      <c r="H113" s="21">
        <v>4</v>
      </c>
      <c r="I113" s="21">
        <f t="shared" si="5"/>
        <v>-1</v>
      </c>
      <c r="J113" s="21" t="s">
        <v>30</v>
      </c>
      <c r="K113" s="21" t="s">
        <v>30</v>
      </c>
      <c r="L113" s="21" t="s">
        <v>133</v>
      </c>
      <c r="M113" s="21"/>
      <c r="N113" s="21" t="s">
        <v>295</v>
      </c>
      <c r="O113" s="3"/>
      <c r="P113" s="41">
        <v>0</v>
      </c>
      <c r="Q113" s="41">
        <v>0</v>
      </c>
      <c r="R113" s="41">
        <v>0</v>
      </c>
      <c r="S113" s="41">
        <v>0</v>
      </c>
      <c r="T113" s="42">
        <v>0</v>
      </c>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20"/>
    </row>
    <row r="114" spans="1:68" s="2" customFormat="1" ht="75" customHeight="1" x14ac:dyDescent="0.2">
      <c r="A114" s="53"/>
      <c r="B114" s="1"/>
      <c r="C114" s="40" t="s">
        <v>26</v>
      </c>
      <c r="D114" s="21"/>
      <c r="E114" s="28" t="s">
        <v>296</v>
      </c>
      <c r="F114" s="28" t="s">
        <v>297</v>
      </c>
      <c r="G114" s="21">
        <v>2</v>
      </c>
      <c r="H114" s="21">
        <v>4</v>
      </c>
      <c r="I114" s="21">
        <f t="shared" si="5"/>
        <v>-2</v>
      </c>
      <c r="J114" s="21" t="s">
        <v>30</v>
      </c>
      <c r="K114" s="21" t="s">
        <v>30</v>
      </c>
      <c r="L114" s="21" t="s">
        <v>133</v>
      </c>
      <c r="M114" s="21"/>
      <c r="N114" s="21" t="s">
        <v>33</v>
      </c>
      <c r="O114" s="3"/>
      <c r="P114" s="41">
        <v>0</v>
      </c>
      <c r="Q114" s="41">
        <v>0</v>
      </c>
      <c r="R114" s="41">
        <v>0</v>
      </c>
      <c r="S114" s="41">
        <v>0</v>
      </c>
      <c r="T114" s="42">
        <v>0</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20"/>
    </row>
    <row r="115" spans="1:68" s="2" customFormat="1" ht="75" customHeight="1" x14ac:dyDescent="0.2">
      <c r="A115" s="53"/>
      <c r="B115" s="1"/>
      <c r="C115" s="40" t="s">
        <v>26</v>
      </c>
      <c r="D115" s="21"/>
      <c r="E115" s="28" t="s">
        <v>298</v>
      </c>
      <c r="F115" s="28" t="s">
        <v>299</v>
      </c>
      <c r="G115" s="21">
        <v>2</v>
      </c>
      <c r="H115" s="21">
        <v>4</v>
      </c>
      <c r="I115" s="21">
        <f t="shared" si="5"/>
        <v>-2</v>
      </c>
      <c r="J115" s="21" t="s">
        <v>30</v>
      </c>
      <c r="K115" s="21" t="s">
        <v>30</v>
      </c>
      <c r="L115" s="21" t="s">
        <v>300</v>
      </c>
      <c r="M115" s="21"/>
      <c r="N115" s="21" t="s">
        <v>33</v>
      </c>
      <c r="O115" s="3"/>
      <c r="P115" s="41">
        <v>0</v>
      </c>
      <c r="Q115" s="41">
        <v>0</v>
      </c>
      <c r="R115" s="41">
        <v>0</v>
      </c>
      <c r="S115" s="41">
        <v>0</v>
      </c>
      <c r="T115" s="42">
        <v>0</v>
      </c>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20"/>
    </row>
    <row r="116" spans="1:68" s="2" customFormat="1" ht="75" customHeight="1" x14ac:dyDescent="0.2">
      <c r="A116" s="53"/>
      <c r="B116" s="1"/>
      <c r="C116" s="40" t="s">
        <v>26</v>
      </c>
      <c r="D116" s="21"/>
      <c r="E116" s="28" t="s">
        <v>301</v>
      </c>
      <c r="F116" s="28" t="s">
        <v>302</v>
      </c>
      <c r="G116" s="21">
        <v>1</v>
      </c>
      <c r="H116" s="21">
        <v>4</v>
      </c>
      <c r="I116" s="21">
        <f t="shared" si="5"/>
        <v>-3</v>
      </c>
      <c r="J116" s="21" t="s">
        <v>30</v>
      </c>
      <c r="K116" s="21" t="s">
        <v>30</v>
      </c>
      <c r="L116" s="21" t="s">
        <v>139</v>
      </c>
      <c r="M116" s="21"/>
      <c r="N116" s="21" t="s">
        <v>295</v>
      </c>
      <c r="O116" s="3"/>
      <c r="P116" s="41">
        <v>0</v>
      </c>
      <c r="Q116" s="41">
        <v>0</v>
      </c>
      <c r="R116" s="41">
        <v>0</v>
      </c>
      <c r="S116" s="41">
        <v>0</v>
      </c>
      <c r="T116" s="42">
        <v>0</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20"/>
    </row>
    <row r="117" spans="1:68" s="2" customFormat="1" ht="75" customHeight="1" x14ac:dyDescent="0.2">
      <c r="A117" s="53"/>
      <c r="B117" s="1"/>
      <c r="C117" s="40" t="s">
        <v>26</v>
      </c>
      <c r="D117" s="21"/>
      <c r="E117" s="28" t="s">
        <v>303</v>
      </c>
      <c r="F117" s="28" t="s">
        <v>304</v>
      </c>
      <c r="G117" s="21">
        <v>3</v>
      </c>
      <c r="H117" s="21">
        <v>4</v>
      </c>
      <c r="I117" s="21">
        <f t="shared" si="5"/>
        <v>-1</v>
      </c>
      <c r="J117" s="21" t="s">
        <v>30</v>
      </c>
      <c r="K117" s="21" t="s">
        <v>30</v>
      </c>
      <c r="L117" s="21" t="s">
        <v>133</v>
      </c>
      <c r="M117" s="21"/>
      <c r="N117" s="21" t="s">
        <v>273</v>
      </c>
      <c r="O117" s="3"/>
      <c r="P117" s="41">
        <v>0</v>
      </c>
      <c r="Q117" s="41">
        <v>0</v>
      </c>
      <c r="R117" s="41">
        <v>0</v>
      </c>
      <c r="S117" s="41">
        <v>0</v>
      </c>
      <c r="T117" s="42">
        <v>0</v>
      </c>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20"/>
    </row>
    <row r="118" spans="1:68" s="2" customFormat="1" ht="75" customHeight="1" x14ac:dyDescent="0.2">
      <c r="A118" s="53"/>
      <c r="B118" s="1"/>
      <c r="C118" s="40" t="s">
        <v>26</v>
      </c>
      <c r="D118" s="21"/>
      <c r="E118" s="28" t="s">
        <v>305</v>
      </c>
      <c r="F118" s="28" t="s">
        <v>306</v>
      </c>
      <c r="G118" s="21">
        <v>2</v>
      </c>
      <c r="H118" s="21">
        <v>4</v>
      </c>
      <c r="I118" s="21">
        <f t="shared" si="5"/>
        <v>-2</v>
      </c>
      <c r="J118" s="21" t="s">
        <v>30</v>
      </c>
      <c r="K118" s="21" t="s">
        <v>30</v>
      </c>
      <c r="L118" s="21" t="s">
        <v>133</v>
      </c>
      <c r="M118" s="21"/>
      <c r="N118" s="21" t="s">
        <v>295</v>
      </c>
      <c r="O118" s="3"/>
      <c r="P118" s="41">
        <v>0</v>
      </c>
      <c r="Q118" s="41">
        <v>0</v>
      </c>
      <c r="R118" s="41">
        <v>0</v>
      </c>
      <c r="S118" s="41">
        <v>0</v>
      </c>
      <c r="T118" s="42">
        <v>0</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20"/>
    </row>
    <row r="119" spans="1:68" s="2" customFormat="1" ht="30" customHeight="1" x14ac:dyDescent="0.2">
      <c r="A119" s="53"/>
      <c r="B119" s="1" t="s">
        <v>307</v>
      </c>
      <c r="C119" s="40"/>
      <c r="D119" s="21"/>
      <c r="E119" s="379" t="s">
        <v>38</v>
      </c>
      <c r="F119" s="380"/>
      <c r="G119" s="22">
        <f>SUM(G104:G118)/15</f>
        <v>1.7333333333333334</v>
      </c>
      <c r="H119" s="22">
        <f>SUM(H104:H118)/15</f>
        <v>4</v>
      </c>
      <c r="I119" s="22">
        <f>SUM(I104:I118)/15</f>
        <v>-2.2666666666666666</v>
      </c>
      <c r="J119" s="23" t="s">
        <v>16</v>
      </c>
      <c r="K119" s="391"/>
      <c r="L119" s="392"/>
      <c r="M119" s="392"/>
      <c r="N119" s="393"/>
      <c r="O119" s="24"/>
      <c r="P119" s="375">
        <v>0</v>
      </c>
      <c r="Q119" s="375"/>
      <c r="R119" s="375"/>
      <c r="S119" s="375"/>
      <c r="T119" s="375"/>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20"/>
    </row>
    <row r="120" spans="1:68" s="2" customFormat="1" ht="30" customHeight="1" x14ac:dyDescent="0.2">
      <c r="A120" s="53"/>
      <c r="B120" s="1"/>
      <c r="C120" s="36"/>
      <c r="D120" s="385" t="s">
        <v>308</v>
      </c>
      <c r="E120" s="386"/>
      <c r="F120" s="386"/>
      <c r="G120" s="386"/>
      <c r="H120" s="386"/>
      <c r="I120" s="386"/>
      <c r="J120" s="386"/>
      <c r="K120" s="386"/>
      <c r="L120" s="386"/>
      <c r="M120" s="386"/>
      <c r="N120" s="387"/>
      <c r="O120" s="3"/>
      <c r="P120" s="37">
        <v>0</v>
      </c>
      <c r="Q120" s="38">
        <v>0</v>
      </c>
      <c r="R120" s="37">
        <v>0</v>
      </c>
      <c r="S120" s="38">
        <v>0</v>
      </c>
      <c r="T120" s="39">
        <v>0</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20"/>
    </row>
    <row r="121" spans="1:68" s="2" customFormat="1" ht="75" customHeight="1" x14ac:dyDescent="0.2">
      <c r="A121" s="53"/>
      <c r="B121" s="1"/>
      <c r="C121" s="40" t="s">
        <v>26</v>
      </c>
      <c r="D121" s="21" t="s">
        <v>309</v>
      </c>
      <c r="E121" s="21" t="s">
        <v>310</v>
      </c>
      <c r="F121" s="21" t="s">
        <v>311</v>
      </c>
      <c r="G121" s="21">
        <v>2</v>
      </c>
      <c r="H121" s="21">
        <v>4</v>
      </c>
      <c r="I121" s="21">
        <f t="shared" ref="I121:I134" si="6">G121-H121</f>
        <v>-2</v>
      </c>
      <c r="J121" s="21" t="s">
        <v>30</v>
      </c>
      <c r="K121" s="21" t="s">
        <v>30</v>
      </c>
      <c r="L121" s="21" t="s">
        <v>312</v>
      </c>
      <c r="M121" s="21"/>
      <c r="N121" s="21" t="s">
        <v>313</v>
      </c>
      <c r="O121" s="3"/>
      <c r="P121" s="41">
        <v>0</v>
      </c>
      <c r="Q121" s="41">
        <v>0</v>
      </c>
      <c r="R121" s="41">
        <v>0</v>
      </c>
      <c r="S121" s="41">
        <v>0</v>
      </c>
      <c r="T121" s="42">
        <v>0</v>
      </c>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20"/>
    </row>
    <row r="122" spans="1:68" s="2" customFormat="1" ht="75" customHeight="1" x14ac:dyDescent="0.2">
      <c r="A122" s="53"/>
      <c r="B122" s="1"/>
      <c r="C122" s="40" t="s">
        <v>26</v>
      </c>
      <c r="D122" s="21"/>
      <c r="E122" s="21" t="s">
        <v>314</v>
      </c>
      <c r="F122" s="21" t="s">
        <v>315</v>
      </c>
      <c r="G122" s="21">
        <v>3</v>
      </c>
      <c r="H122" s="21">
        <v>4</v>
      </c>
      <c r="I122" s="21">
        <f t="shared" si="6"/>
        <v>-1</v>
      </c>
      <c r="J122" s="21" t="s">
        <v>30</v>
      </c>
      <c r="K122" s="21" t="s">
        <v>30</v>
      </c>
      <c r="L122" s="21" t="s">
        <v>316</v>
      </c>
      <c r="M122" s="21"/>
      <c r="N122" s="21" t="s">
        <v>317</v>
      </c>
      <c r="O122" s="3"/>
      <c r="P122" s="41">
        <v>0</v>
      </c>
      <c r="Q122" s="41">
        <v>0</v>
      </c>
      <c r="R122" s="41">
        <v>0</v>
      </c>
      <c r="S122" s="41">
        <v>0</v>
      </c>
      <c r="T122" s="42">
        <v>0</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20"/>
    </row>
    <row r="123" spans="1:68" s="2" customFormat="1" ht="75" customHeight="1" x14ac:dyDescent="0.2">
      <c r="A123" s="53"/>
      <c r="B123" s="1"/>
      <c r="C123" s="40" t="s">
        <v>26</v>
      </c>
      <c r="D123" s="21"/>
      <c r="E123" s="21" t="s">
        <v>318</v>
      </c>
      <c r="F123" s="21" t="s">
        <v>319</v>
      </c>
      <c r="G123" s="21">
        <v>1</v>
      </c>
      <c r="H123" s="21">
        <v>4</v>
      </c>
      <c r="I123" s="21">
        <f t="shared" si="6"/>
        <v>-3</v>
      </c>
      <c r="J123" s="21" t="s">
        <v>30</v>
      </c>
      <c r="K123" s="21" t="s">
        <v>30</v>
      </c>
      <c r="L123" s="21" t="s">
        <v>133</v>
      </c>
      <c r="M123" s="21"/>
      <c r="N123" s="21"/>
      <c r="O123" s="3"/>
      <c r="P123" s="41">
        <v>0</v>
      </c>
      <c r="Q123" s="41">
        <v>0</v>
      </c>
      <c r="R123" s="41">
        <v>0</v>
      </c>
      <c r="S123" s="41">
        <v>0</v>
      </c>
      <c r="T123" s="42">
        <v>0</v>
      </c>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20"/>
    </row>
    <row r="124" spans="1:68" s="2" customFormat="1" ht="92.65" customHeight="1" x14ac:dyDescent="0.2">
      <c r="A124" s="53"/>
      <c r="B124" s="1"/>
      <c r="C124" s="40" t="s">
        <v>26</v>
      </c>
      <c r="D124" s="21"/>
      <c r="E124" s="21" t="s">
        <v>320</v>
      </c>
      <c r="F124" s="21" t="s">
        <v>321</v>
      </c>
      <c r="G124" s="21">
        <v>3</v>
      </c>
      <c r="H124" s="21">
        <v>4</v>
      </c>
      <c r="I124" s="21">
        <f t="shared" si="6"/>
        <v>-1</v>
      </c>
      <c r="J124" s="21" t="s">
        <v>30</v>
      </c>
      <c r="K124" s="21" t="s">
        <v>30</v>
      </c>
      <c r="L124" s="21" t="s">
        <v>322</v>
      </c>
      <c r="M124" s="21"/>
      <c r="N124" s="21" t="s">
        <v>323</v>
      </c>
      <c r="O124" s="3"/>
      <c r="P124" s="41">
        <v>0</v>
      </c>
      <c r="Q124" s="41">
        <v>0</v>
      </c>
      <c r="R124" s="41">
        <v>0</v>
      </c>
      <c r="S124" s="41">
        <v>0</v>
      </c>
      <c r="T124" s="42">
        <v>0</v>
      </c>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20"/>
    </row>
    <row r="125" spans="1:68" s="2" customFormat="1" ht="75" customHeight="1" x14ac:dyDescent="0.2">
      <c r="A125" s="53"/>
      <c r="B125" s="1"/>
      <c r="C125" s="40" t="s">
        <v>26</v>
      </c>
      <c r="D125" s="21" t="s">
        <v>324</v>
      </c>
      <c r="E125" s="21" t="s">
        <v>325</v>
      </c>
      <c r="F125" s="21" t="s">
        <v>326</v>
      </c>
      <c r="G125" s="21">
        <v>3</v>
      </c>
      <c r="H125" s="21">
        <v>4</v>
      </c>
      <c r="I125" s="21">
        <f t="shared" si="6"/>
        <v>-1</v>
      </c>
      <c r="J125" s="21" t="s">
        <v>30</v>
      </c>
      <c r="K125" s="21" t="s">
        <v>30</v>
      </c>
      <c r="L125" s="21" t="s">
        <v>327</v>
      </c>
      <c r="M125" s="21"/>
      <c r="N125" s="21" t="s">
        <v>328</v>
      </c>
      <c r="O125" s="3"/>
      <c r="P125" s="41">
        <v>0</v>
      </c>
      <c r="Q125" s="41">
        <v>0</v>
      </c>
      <c r="R125" s="41">
        <v>0</v>
      </c>
      <c r="S125" s="41">
        <v>0</v>
      </c>
      <c r="T125" s="42">
        <v>0</v>
      </c>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20"/>
    </row>
    <row r="126" spans="1:68" s="2" customFormat="1" ht="75" customHeight="1" x14ac:dyDescent="0.2">
      <c r="A126" s="53"/>
      <c r="B126" s="1"/>
      <c r="C126" s="40" t="s">
        <v>26</v>
      </c>
      <c r="D126" s="21" t="s">
        <v>329</v>
      </c>
      <c r="E126" s="21" t="s">
        <v>330</v>
      </c>
      <c r="F126" s="21" t="s">
        <v>331</v>
      </c>
      <c r="G126" s="21">
        <v>3</v>
      </c>
      <c r="H126" s="21">
        <v>4</v>
      </c>
      <c r="I126" s="21">
        <f t="shared" si="6"/>
        <v>-1</v>
      </c>
      <c r="J126" s="21" t="s">
        <v>30</v>
      </c>
      <c r="K126" s="21" t="s">
        <v>30</v>
      </c>
      <c r="L126" s="21" t="s">
        <v>327</v>
      </c>
      <c r="M126" s="21"/>
      <c r="N126" s="21" t="s">
        <v>332</v>
      </c>
      <c r="O126" s="3"/>
      <c r="P126" s="41">
        <v>0</v>
      </c>
      <c r="Q126" s="41">
        <v>0</v>
      </c>
      <c r="R126" s="41">
        <v>0</v>
      </c>
      <c r="S126" s="41">
        <v>0</v>
      </c>
      <c r="T126" s="42">
        <v>0</v>
      </c>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20"/>
    </row>
    <row r="127" spans="1:68" s="2" customFormat="1" ht="75" customHeight="1" x14ac:dyDescent="0.2">
      <c r="A127" s="53"/>
      <c r="B127" s="1"/>
      <c r="C127" s="40" t="s">
        <v>26</v>
      </c>
      <c r="D127" s="21" t="s">
        <v>333</v>
      </c>
      <c r="E127" s="21" t="s">
        <v>334</v>
      </c>
      <c r="F127" s="21" t="s">
        <v>335</v>
      </c>
      <c r="G127" s="21">
        <v>2</v>
      </c>
      <c r="H127" s="21">
        <v>4</v>
      </c>
      <c r="I127" s="21">
        <f t="shared" si="6"/>
        <v>-2</v>
      </c>
      <c r="J127" s="21" t="s">
        <v>30</v>
      </c>
      <c r="K127" s="21" t="s">
        <v>30</v>
      </c>
      <c r="L127" s="21" t="s">
        <v>133</v>
      </c>
      <c r="M127" s="21"/>
      <c r="N127" s="21" t="s">
        <v>336</v>
      </c>
      <c r="O127" s="3"/>
      <c r="P127" s="41">
        <v>0</v>
      </c>
      <c r="Q127" s="41">
        <v>0</v>
      </c>
      <c r="R127" s="41">
        <v>0</v>
      </c>
      <c r="S127" s="41">
        <v>0</v>
      </c>
      <c r="T127" s="42">
        <v>0</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20"/>
    </row>
    <row r="128" spans="1:68" s="2" customFormat="1" ht="75" customHeight="1" x14ac:dyDescent="0.2">
      <c r="A128" s="53"/>
      <c r="B128" s="1"/>
      <c r="C128" s="40" t="s">
        <v>26</v>
      </c>
      <c r="D128" s="21"/>
      <c r="E128" s="21" t="s">
        <v>337</v>
      </c>
      <c r="F128" s="21" t="s">
        <v>338</v>
      </c>
      <c r="G128" s="21">
        <v>2</v>
      </c>
      <c r="H128" s="21">
        <v>4</v>
      </c>
      <c r="I128" s="21">
        <f t="shared" si="6"/>
        <v>-2</v>
      </c>
      <c r="J128" s="21" t="s">
        <v>30</v>
      </c>
      <c r="K128" s="21" t="s">
        <v>30</v>
      </c>
      <c r="L128" s="21" t="s">
        <v>133</v>
      </c>
      <c r="M128" s="21"/>
      <c r="N128" s="21" t="s">
        <v>336</v>
      </c>
      <c r="O128" s="3"/>
      <c r="P128" s="41">
        <v>0</v>
      </c>
      <c r="Q128" s="41">
        <v>0</v>
      </c>
      <c r="R128" s="41">
        <v>0</v>
      </c>
      <c r="S128" s="41">
        <v>0</v>
      </c>
      <c r="T128" s="42">
        <v>0</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20"/>
    </row>
    <row r="129" spans="1:68" s="2" customFormat="1" ht="75" customHeight="1" x14ac:dyDescent="0.2">
      <c r="A129" s="53"/>
      <c r="B129" s="1"/>
      <c r="C129" s="40" t="s">
        <v>26</v>
      </c>
      <c r="D129" s="21"/>
      <c r="E129" s="21" t="s">
        <v>339</v>
      </c>
      <c r="F129" s="21" t="s">
        <v>340</v>
      </c>
      <c r="G129" s="21">
        <v>2</v>
      </c>
      <c r="H129" s="21">
        <v>4</v>
      </c>
      <c r="I129" s="21">
        <f t="shared" si="6"/>
        <v>-2</v>
      </c>
      <c r="J129" s="21" t="s">
        <v>30</v>
      </c>
      <c r="K129" s="21" t="s">
        <v>30</v>
      </c>
      <c r="L129" s="21" t="s">
        <v>133</v>
      </c>
      <c r="M129" s="21"/>
      <c r="N129" s="21" t="s">
        <v>336</v>
      </c>
      <c r="O129" s="3"/>
      <c r="P129" s="41">
        <v>0</v>
      </c>
      <c r="Q129" s="41">
        <v>0</v>
      </c>
      <c r="R129" s="41">
        <v>0</v>
      </c>
      <c r="S129" s="41">
        <v>0</v>
      </c>
      <c r="T129" s="42">
        <v>0</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20"/>
    </row>
    <row r="130" spans="1:68" s="2" customFormat="1" ht="75" customHeight="1" x14ac:dyDescent="0.2">
      <c r="A130" s="53"/>
      <c r="B130" s="1"/>
      <c r="C130" s="40" t="s">
        <v>26</v>
      </c>
      <c r="D130" s="21"/>
      <c r="E130" s="21" t="s">
        <v>341</v>
      </c>
      <c r="F130" s="21" t="s">
        <v>342</v>
      </c>
      <c r="G130" s="21">
        <v>3</v>
      </c>
      <c r="H130" s="21">
        <v>4</v>
      </c>
      <c r="I130" s="21">
        <f t="shared" si="6"/>
        <v>-1</v>
      </c>
      <c r="J130" s="21" t="s">
        <v>30</v>
      </c>
      <c r="K130" s="21" t="s">
        <v>30</v>
      </c>
      <c r="L130" s="21" t="s">
        <v>133</v>
      </c>
      <c r="M130" s="21"/>
      <c r="N130" s="21" t="s">
        <v>33</v>
      </c>
      <c r="O130" s="3"/>
      <c r="P130" s="41">
        <v>0</v>
      </c>
      <c r="Q130" s="41">
        <v>0</v>
      </c>
      <c r="R130" s="41">
        <v>0</v>
      </c>
      <c r="S130" s="41">
        <v>0</v>
      </c>
      <c r="T130" s="42">
        <v>0</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20"/>
    </row>
    <row r="131" spans="1:68" s="2" customFormat="1" ht="75" customHeight="1" x14ac:dyDescent="0.2">
      <c r="A131" s="53"/>
      <c r="B131" s="1"/>
      <c r="C131" s="40" t="s">
        <v>26</v>
      </c>
      <c r="D131" s="21" t="s">
        <v>343</v>
      </c>
      <c r="E131" s="21" t="s">
        <v>344</v>
      </c>
      <c r="F131" s="21" t="s">
        <v>345</v>
      </c>
      <c r="G131" s="21">
        <v>3</v>
      </c>
      <c r="H131" s="21">
        <v>4</v>
      </c>
      <c r="I131" s="21">
        <f t="shared" si="6"/>
        <v>-1</v>
      </c>
      <c r="J131" s="21" t="s">
        <v>30</v>
      </c>
      <c r="K131" s="21" t="s">
        <v>30</v>
      </c>
      <c r="L131" s="21" t="s">
        <v>346</v>
      </c>
      <c r="M131" s="21"/>
      <c r="N131" s="21" t="s">
        <v>347</v>
      </c>
      <c r="O131" s="3"/>
      <c r="P131" s="41">
        <v>0</v>
      </c>
      <c r="Q131" s="41">
        <v>0</v>
      </c>
      <c r="R131" s="41">
        <v>0</v>
      </c>
      <c r="S131" s="41">
        <v>0</v>
      </c>
      <c r="T131" s="42">
        <v>0</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20"/>
    </row>
    <row r="132" spans="1:68" s="2" customFormat="1" ht="107.25" customHeight="1" x14ac:dyDescent="0.2">
      <c r="A132" s="53"/>
      <c r="B132" s="1"/>
      <c r="C132" s="40" t="s">
        <v>26</v>
      </c>
      <c r="D132" s="21" t="s">
        <v>348</v>
      </c>
      <c r="E132" s="21" t="s">
        <v>349</v>
      </c>
      <c r="F132" s="21" t="s">
        <v>350</v>
      </c>
      <c r="G132" s="21">
        <v>3</v>
      </c>
      <c r="H132" s="21">
        <v>4</v>
      </c>
      <c r="I132" s="21">
        <f t="shared" si="6"/>
        <v>-1</v>
      </c>
      <c r="J132" s="21" t="s">
        <v>30</v>
      </c>
      <c r="K132" s="21" t="s">
        <v>30</v>
      </c>
      <c r="L132" s="21" t="s">
        <v>346</v>
      </c>
      <c r="M132" s="21"/>
      <c r="N132" s="21" t="s">
        <v>336</v>
      </c>
      <c r="O132" s="3"/>
      <c r="P132" s="41">
        <v>0</v>
      </c>
      <c r="Q132" s="41">
        <v>0</v>
      </c>
      <c r="R132" s="41">
        <v>0</v>
      </c>
      <c r="S132" s="41">
        <v>0</v>
      </c>
      <c r="T132" s="42">
        <v>0</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20"/>
    </row>
    <row r="133" spans="1:68" s="2" customFormat="1" ht="75" customHeight="1" x14ac:dyDescent="0.2">
      <c r="A133" s="53"/>
      <c r="B133" s="1"/>
      <c r="C133" s="40" t="s">
        <v>26</v>
      </c>
      <c r="D133" s="21"/>
      <c r="E133" s="21" t="s">
        <v>351</v>
      </c>
      <c r="F133" s="21" t="s">
        <v>352</v>
      </c>
      <c r="G133" s="21">
        <v>3</v>
      </c>
      <c r="H133" s="21">
        <v>4</v>
      </c>
      <c r="I133" s="21">
        <f t="shared" si="6"/>
        <v>-1</v>
      </c>
      <c r="J133" s="21" t="s">
        <v>30</v>
      </c>
      <c r="K133" s="21" t="s">
        <v>30</v>
      </c>
      <c r="L133" s="21" t="s">
        <v>346</v>
      </c>
      <c r="M133" s="21"/>
      <c r="N133" s="21" t="s">
        <v>336</v>
      </c>
      <c r="O133" s="3"/>
      <c r="P133" s="41">
        <v>0</v>
      </c>
      <c r="Q133" s="41">
        <v>0</v>
      </c>
      <c r="R133" s="41">
        <v>0</v>
      </c>
      <c r="S133" s="41">
        <v>0</v>
      </c>
      <c r="T133" s="42">
        <v>0</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20"/>
    </row>
    <row r="134" spans="1:68" s="2" customFormat="1" ht="75" customHeight="1" x14ac:dyDescent="0.2">
      <c r="A134" s="53"/>
      <c r="B134" s="1"/>
      <c r="C134" s="40" t="s">
        <v>26</v>
      </c>
      <c r="D134" s="21" t="s">
        <v>353</v>
      </c>
      <c r="E134" s="21" t="s">
        <v>354</v>
      </c>
      <c r="F134" s="21" t="s">
        <v>355</v>
      </c>
      <c r="G134" s="21">
        <v>2</v>
      </c>
      <c r="H134" s="21">
        <v>4</v>
      </c>
      <c r="I134" s="21">
        <f t="shared" si="6"/>
        <v>-2</v>
      </c>
      <c r="J134" s="21" t="s">
        <v>30</v>
      </c>
      <c r="K134" s="21" t="s">
        <v>30</v>
      </c>
      <c r="L134" s="21" t="s">
        <v>139</v>
      </c>
      <c r="M134" s="21"/>
      <c r="N134" s="21" t="s">
        <v>336</v>
      </c>
      <c r="O134" s="3"/>
      <c r="P134" s="41">
        <v>0</v>
      </c>
      <c r="Q134" s="41">
        <v>0</v>
      </c>
      <c r="R134" s="41">
        <v>0</v>
      </c>
      <c r="S134" s="41">
        <v>0</v>
      </c>
      <c r="T134" s="42">
        <v>0</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20"/>
    </row>
    <row r="135" spans="1:68" s="2" customFormat="1" ht="247.15" hidden="1" customHeight="1" x14ac:dyDescent="0.2">
      <c r="A135" s="53"/>
      <c r="B135" s="1"/>
      <c r="C135" s="43" t="s">
        <v>90</v>
      </c>
      <c r="D135" s="25"/>
      <c r="E135" s="25" t="s">
        <v>356</v>
      </c>
      <c r="F135" s="25" t="s">
        <v>357</v>
      </c>
      <c r="G135" s="25" t="s">
        <v>93</v>
      </c>
      <c r="H135" s="25" t="s">
        <v>93</v>
      </c>
      <c r="I135" s="25" t="s">
        <v>93</v>
      </c>
      <c r="J135" s="25" t="s">
        <v>30</v>
      </c>
      <c r="K135" s="25"/>
      <c r="L135" s="25"/>
      <c r="M135" s="29" t="s">
        <v>358</v>
      </c>
      <c r="N135" s="25" t="s">
        <v>95</v>
      </c>
      <c r="O135" s="3"/>
      <c r="P135" s="41">
        <v>0</v>
      </c>
      <c r="Q135" s="41">
        <v>0</v>
      </c>
      <c r="R135" s="41">
        <v>0</v>
      </c>
      <c r="S135" s="41">
        <v>0</v>
      </c>
      <c r="T135" s="42">
        <v>0</v>
      </c>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20"/>
    </row>
    <row r="136" spans="1:68" s="2" customFormat="1" ht="75" hidden="1" customHeight="1" x14ac:dyDescent="0.2">
      <c r="A136" s="53"/>
      <c r="B136" s="1"/>
      <c r="C136" s="43" t="s">
        <v>90</v>
      </c>
      <c r="D136" s="25"/>
      <c r="E136" s="25" t="s">
        <v>356</v>
      </c>
      <c r="F136" s="25" t="s">
        <v>359</v>
      </c>
      <c r="G136" s="25" t="s">
        <v>93</v>
      </c>
      <c r="H136" s="25" t="s">
        <v>93</v>
      </c>
      <c r="I136" s="25" t="s">
        <v>93</v>
      </c>
      <c r="J136" s="25" t="s">
        <v>30</v>
      </c>
      <c r="K136" s="25"/>
      <c r="L136" s="25"/>
      <c r="M136" s="25"/>
      <c r="N136" s="25" t="s">
        <v>95</v>
      </c>
      <c r="O136" s="3"/>
      <c r="P136" s="41">
        <v>0</v>
      </c>
      <c r="Q136" s="41">
        <v>0</v>
      </c>
      <c r="R136" s="41">
        <v>0</v>
      </c>
      <c r="S136" s="41">
        <v>0</v>
      </c>
      <c r="T136" s="42">
        <v>0</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20"/>
    </row>
    <row r="137" spans="1:68" s="2" customFormat="1" ht="75" hidden="1" customHeight="1" x14ac:dyDescent="0.2">
      <c r="A137" s="53"/>
      <c r="B137" s="1"/>
      <c r="C137" s="43" t="s">
        <v>90</v>
      </c>
      <c r="D137" s="25"/>
      <c r="E137" s="25" t="s">
        <v>356</v>
      </c>
      <c r="F137" s="25" t="s">
        <v>360</v>
      </c>
      <c r="G137" s="25" t="s">
        <v>93</v>
      </c>
      <c r="H137" s="25" t="s">
        <v>93</v>
      </c>
      <c r="I137" s="25" t="s">
        <v>93</v>
      </c>
      <c r="J137" s="25" t="s">
        <v>30</v>
      </c>
      <c r="K137" s="25"/>
      <c r="L137" s="25"/>
      <c r="M137" s="25"/>
      <c r="N137" s="25" t="s">
        <v>95</v>
      </c>
      <c r="O137" s="3"/>
      <c r="P137" s="41">
        <v>0</v>
      </c>
      <c r="Q137" s="41">
        <v>0</v>
      </c>
      <c r="R137" s="41">
        <v>0</v>
      </c>
      <c r="S137" s="41">
        <v>0</v>
      </c>
      <c r="T137" s="42">
        <v>0</v>
      </c>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20"/>
    </row>
    <row r="138" spans="1:68" s="2" customFormat="1" ht="75" hidden="1" customHeight="1" x14ac:dyDescent="0.2">
      <c r="A138" s="53"/>
      <c r="B138" s="1"/>
      <c r="C138" s="43" t="s">
        <v>90</v>
      </c>
      <c r="D138" s="25"/>
      <c r="E138" s="25" t="s">
        <v>356</v>
      </c>
      <c r="F138" s="25" t="s">
        <v>361</v>
      </c>
      <c r="G138" s="25" t="s">
        <v>93</v>
      </c>
      <c r="H138" s="25" t="s">
        <v>93</v>
      </c>
      <c r="I138" s="25" t="s">
        <v>93</v>
      </c>
      <c r="J138" s="25" t="s">
        <v>30</v>
      </c>
      <c r="K138" s="25"/>
      <c r="L138" s="25"/>
      <c r="M138" s="25"/>
      <c r="N138" s="25" t="s">
        <v>253</v>
      </c>
      <c r="O138" s="3"/>
      <c r="P138" s="41">
        <v>0</v>
      </c>
      <c r="Q138" s="41">
        <v>0</v>
      </c>
      <c r="R138" s="41">
        <v>0</v>
      </c>
      <c r="S138" s="41">
        <v>0</v>
      </c>
      <c r="T138" s="42">
        <v>0</v>
      </c>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20"/>
    </row>
    <row r="139" spans="1:68" s="2" customFormat="1" ht="75" hidden="1" customHeight="1" x14ac:dyDescent="0.2">
      <c r="A139" s="53"/>
      <c r="B139" s="1"/>
      <c r="C139" s="43" t="s">
        <v>99</v>
      </c>
      <c r="D139" s="25"/>
      <c r="E139" s="25" t="s">
        <v>356</v>
      </c>
      <c r="F139" s="25" t="s">
        <v>362</v>
      </c>
      <c r="G139" s="25" t="s">
        <v>93</v>
      </c>
      <c r="H139" s="25" t="s">
        <v>93</v>
      </c>
      <c r="I139" s="25" t="s">
        <v>93</v>
      </c>
      <c r="J139" s="25" t="s">
        <v>30</v>
      </c>
      <c r="K139" s="25"/>
      <c r="L139" s="25"/>
      <c r="M139" s="25"/>
      <c r="N139" s="25" t="s">
        <v>253</v>
      </c>
      <c r="O139" s="3"/>
      <c r="P139" s="41">
        <v>0</v>
      </c>
      <c r="Q139" s="41">
        <v>0</v>
      </c>
      <c r="R139" s="41">
        <v>0</v>
      </c>
      <c r="S139" s="41">
        <v>0</v>
      </c>
      <c r="T139" s="42">
        <v>0</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20"/>
    </row>
    <row r="140" spans="1:68" s="2" customFormat="1" ht="75" hidden="1" customHeight="1" x14ac:dyDescent="0.2">
      <c r="A140" s="53"/>
      <c r="B140" s="1"/>
      <c r="C140" s="43" t="s">
        <v>90</v>
      </c>
      <c r="D140" s="25"/>
      <c r="E140" s="25" t="s">
        <v>356</v>
      </c>
      <c r="F140" s="25" t="s">
        <v>363</v>
      </c>
      <c r="G140" s="25" t="s">
        <v>93</v>
      </c>
      <c r="H140" s="25" t="s">
        <v>93</v>
      </c>
      <c r="I140" s="25" t="s">
        <v>93</v>
      </c>
      <c r="J140" s="25" t="s">
        <v>30</v>
      </c>
      <c r="K140" s="25"/>
      <c r="L140" s="25"/>
      <c r="M140" s="25"/>
      <c r="N140" s="25" t="s">
        <v>253</v>
      </c>
      <c r="O140" s="3"/>
      <c r="P140" s="41">
        <v>0</v>
      </c>
      <c r="Q140" s="41">
        <v>0</v>
      </c>
      <c r="R140" s="41">
        <v>0</v>
      </c>
      <c r="S140" s="41">
        <v>0</v>
      </c>
      <c r="T140" s="42">
        <v>0</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20"/>
    </row>
    <row r="141" spans="1:68" s="2" customFormat="1" ht="75" hidden="1" customHeight="1" x14ac:dyDescent="0.2">
      <c r="A141" s="53"/>
      <c r="B141" s="1"/>
      <c r="C141" s="43" t="s">
        <v>90</v>
      </c>
      <c r="D141" s="25"/>
      <c r="E141" s="25" t="s">
        <v>356</v>
      </c>
      <c r="F141" s="25" t="s">
        <v>364</v>
      </c>
      <c r="G141" s="25" t="s">
        <v>93</v>
      </c>
      <c r="H141" s="25" t="s">
        <v>93</v>
      </c>
      <c r="I141" s="25" t="s">
        <v>93</v>
      </c>
      <c r="J141" s="25" t="s">
        <v>30</v>
      </c>
      <c r="K141" s="25"/>
      <c r="L141" s="25"/>
      <c r="M141" s="25"/>
      <c r="N141" s="25" t="s">
        <v>258</v>
      </c>
      <c r="O141" s="3"/>
      <c r="P141" s="41">
        <v>0</v>
      </c>
      <c r="Q141" s="41">
        <v>0</v>
      </c>
      <c r="R141" s="41">
        <v>0</v>
      </c>
      <c r="S141" s="41">
        <v>0</v>
      </c>
      <c r="T141" s="42">
        <v>0</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20"/>
    </row>
    <row r="142" spans="1:68" s="2" customFormat="1" ht="30" customHeight="1" x14ac:dyDescent="0.2">
      <c r="A142" s="53"/>
      <c r="B142" s="1" t="s">
        <v>365</v>
      </c>
      <c r="C142" s="40"/>
      <c r="D142" s="21"/>
      <c r="E142" s="379" t="s">
        <v>38</v>
      </c>
      <c r="F142" s="380"/>
      <c r="G142" s="22">
        <f>SUM(G121:G134)/14</f>
        <v>2.5</v>
      </c>
      <c r="H142" s="22">
        <f>SUM(H121:H134)/14</f>
        <v>4</v>
      </c>
      <c r="I142" s="22">
        <f>SUM(I121:I134)/14</f>
        <v>-1.5</v>
      </c>
      <c r="J142" s="23" t="s">
        <v>16</v>
      </c>
      <c r="K142" s="391"/>
      <c r="L142" s="392"/>
      <c r="M142" s="392"/>
      <c r="N142" s="393"/>
      <c r="O142" s="24"/>
      <c r="P142" s="375">
        <v>0</v>
      </c>
      <c r="Q142" s="375"/>
      <c r="R142" s="375"/>
      <c r="S142" s="375"/>
      <c r="T142" s="375"/>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20"/>
    </row>
    <row r="143" spans="1:68" s="2" customFormat="1" ht="30" customHeight="1" x14ac:dyDescent="0.2">
      <c r="A143" s="53"/>
      <c r="B143" s="1"/>
      <c r="C143" s="36"/>
      <c r="D143" s="385" t="s">
        <v>366</v>
      </c>
      <c r="E143" s="386"/>
      <c r="F143" s="386"/>
      <c r="G143" s="386"/>
      <c r="H143" s="386"/>
      <c r="I143" s="386"/>
      <c r="J143" s="386"/>
      <c r="K143" s="386"/>
      <c r="L143" s="386"/>
      <c r="M143" s="386"/>
      <c r="N143" s="387"/>
      <c r="O143" s="3"/>
      <c r="P143" s="37">
        <v>0</v>
      </c>
      <c r="Q143" s="38">
        <v>0</v>
      </c>
      <c r="R143" s="37">
        <v>0</v>
      </c>
      <c r="S143" s="38">
        <v>0</v>
      </c>
      <c r="T143" s="39">
        <v>0</v>
      </c>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20"/>
    </row>
    <row r="144" spans="1:68" s="2" customFormat="1" ht="75" customHeight="1" x14ac:dyDescent="0.2">
      <c r="A144" s="53"/>
      <c r="B144" s="1"/>
      <c r="C144" s="40" t="s">
        <v>26</v>
      </c>
      <c r="D144" s="21" t="s">
        <v>367</v>
      </c>
      <c r="E144" s="21" t="s">
        <v>368</v>
      </c>
      <c r="F144" s="21" t="s">
        <v>369</v>
      </c>
      <c r="G144" s="21">
        <v>2</v>
      </c>
      <c r="H144" s="21">
        <v>4</v>
      </c>
      <c r="I144" s="21">
        <f t="shared" ref="I144:I150" si="7">G144-H144</f>
        <v>-2</v>
      </c>
      <c r="J144" s="21" t="s">
        <v>30</v>
      </c>
      <c r="K144" s="21" t="s">
        <v>30</v>
      </c>
      <c r="L144" s="21" t="s">
        <v>272</v>
      </c>
      <c r="M144" s="21"/>
      <c r="N144" s="21"/>
      <c r="O144" s="3"/>
      <c r="P144" s="41">
        <v>0</v>
      </c>
      <c r="Q144" s="41">
        <v>0</v>
      </c>
      <c r="R144" s="41">
        <v>0</v>
      </c>
      <c r="S144" s="41">
        <v>0</v>
      </c>
      <c r="T144" s="42">
        <v>0</v>
      </c>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20"/>
    </row>
    <row r="145" spans="1:68" s="2" customFormat="1" ht="99" customHeight="1" x14ac:dyDescent="0.2">
      <c r="A145" s="53"/>
      <c r="B145" s="1"/>
      <c r="C145" s="40" t="s">
        <v>26</v>
      </c>
      <c r="D145" s="21"/>
      <c r="E145" s="21" t="s">
        <v>370</v>
      </c>
      <c r="F145" s="21" t="s">
        <v>371</v>
      </c>
      <c r="G145" s="21">
        <v>2</v>
      </c>
      <c r="H145" s="21">
        <v>4</v>
      </c>
      <c r="I145" s="21">
        <f t="shared" si="7"/>
        <v>-2</v>
      </c>
      <c r="J145" s="21" t="s">
        <v>30</v>
      </c>
      <c r="K145" s="21" t="s">
        <v>30</v>
      </c>
      <c r="L145" s="21" t="s">
        <v>272</v>
      </c>
      <c r="M145" s="21"/>
      <c r="N145" s="21"/>
      <c r="O145" s="3"/>
      <c r="P145" s="41">
        <v>0</v>
      </c>
      <c r="Q145" s="41">
        <v>0</v>
      </c>
      <c r="R145" s="41">
        <v>0</v>
      </c>
      <c r="S145" s="41">
        <v>0</v>
      </c>
      <c r="T145" s="42">
        <v>0</v>
      </c>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20"/>
    </row>
    <row r="146" spans="1:68" s="2" customFormat="1" ht="75" customHeight="1" x14ac:dyDescent="0.2">
      <c r="A146" s="53"/>
      <c r="B146" s="1"/>
      <c r="C146" s="40" t="s">
        <v>26</v>
      </c>
      <c r="D146" s="21"/>
      <c r="E146" s="21" t="s">
        <v>372</v>
      </c>
      <c r="F146" s="21" t="s">
        <v>373</v>
      </c>
      <c r="G146" s="21">
        <v>2</v>
      </c>
      <c r="H146" s="21">
        <v>4</v>
      </c>
      <c r="I146" s="21">
        <f t="shared" si="7"/>
        <v>-2</v>
      </c>
      <c r="J146" s="21" t="s">
        <v>30</v>
      </c>
      <c r="K146" s="21" t="s">
        <v>30</v>
      </c>
      <c r="L146" s="21" t="s">
        <v>272</v>
      </c>
      <c r="M146" s="21"/>
      <c r="N146" s="21"/>
      <c r="O146" s="3"/>
      <c r="P146" s="41">
        <v>0</v>
      </c>
      <c r="Q146" s="41">
        <v>0</v>
      </c>
      <c r="R146" s="41">
        <v>0</v>
      </c>
      <c r="S146" s="41">
        <v>0</v>
      </c>
      <c r="T146" s="42">
        <v>0</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20"/>
    </row>
    <row r="147" spans="1:68" s="2" customFormat="1" ht="75" customHeight="1" x14ac:dyDescent="0.2">
      <c r="A147" s="53"/>
      <c r="B147" s="1"/>
      <c r="C147" s="40" t="s">
        <v>26</v>
      </c>
      <c r="D147" s="21" t="s">
        <v>374</v>
      </c>
      <c r="E147" s="21" t="s">
        <v>375</v>
      </c>
      <c r="F147" s="21" t="s">
        <v>376</v>
      </c>
      <c r="G147" s="21">
        <v>2</v>
      </c>
      <c r="H147" s="21">
        <v>4</v>
      </c>
      <c r="I147" s="21">
        <f t="shared" si="7"/>
        <v>-2</v>
      </c>
      <c r="J147" s="21" t="s">
        <v>30</v>
      </c>
      <c r="K147" s="21" t="s">
        <v>30</v>
      </c>
      <c r="L147" s="21" t="s">
        <v>272</v>
      </c>
      <c r="M147" s="21"/>
      <c r="N147" s="21"/>
      <c r="O147" s="3"/>
      <c r="P147" s="41">
        <v>0</v>
      </c>
      <c r="Q147" s="41">
        <v>0</v>
      </c>
      <c r="R147" s="41">
        <v>0</v>
      </c>
      <c r="S147" s="41">
        <v>0</v>
      </c>
      <c r="T147" s="42">
        <v>0</v>
      </c>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20"/>
    </row>
    <row r="148" spans="1:68" s="2" customFormat="1" ht="75" customHeight="1" x14ac:dyDescent="0.2">
      <c r="A148" s="53"/>
      <c r="B148" s="1"/>
      <c r="C148" s="40" t="s">
        <v>26</v>
      </c>
      <c r="D148" s="21"/>
      <c r="E148" s="21" t="s">
        <v>377</v>
      </c>
      <c r="F148" s="21" t="s">
        <v>378</v>
      </c>
      <c r="G148" s="21">
        <v>3</v>
      </c>
      <c r="H148" s="21">
        <v>4</v>
      </c>
      <c r="I148" s="21">
        <f t="shared" si="7"/>
        <v>-1</v>
      </c>
      <c r="J148" s="21" t="s">
        <v>30</v>
      </c>
      <c r="K148" s="21" t="s">
        <v>30</v>
      </c>
      <c r="L148" s="21" t="s">
        <v>379</v>
      </c>
      <c r="M148" s="21"/>
      <c r="N148" s="21"/>
      <c r="O148" s="3"/>
      <c r="P148" s="41">
        <v>0</v>
      </c>
      <c r="Q148" s="41">
        <v>0</v>
      </c>
      <c r="R148" s="41">
        <v>0</v>
      </c>
      <c r="S148" s="41">
        <v>0</v>
      </c>
      <c r="T148" s="42">
        <v>0</v>
      </c>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20"/>
    </row>
    <row r="149" spans="1:68" s="2" customFormat="1" ht="75" customHeight="1" x14ac:dyDescent="0.2">
      <c r="A149" s="53"/>
      <c r="B149" s="1"/>
      <c r="C149" s="40" t="s">
        <v>26</v>
      </c>
      <c r="D149" s="21"/>
      <c r="E149" s="21" t="s">
        <v>380</v>
      </c>
      <c r="F149" s="21" t="s">
        <v>381</v>
      </c>
      <c r="G149" s="21">
        <v>3</v>
      </c>
      <c r="H149" s="21">
        <v>4</v>
      </c>
      <c r="I149" s="21">
        <f t="shared" si="7"/>
        <v>-1</v>
      </c>
      <c r="J149" s="21" t="s">
        <v>30</v>
      </c>
      <c r="K149" s="21" t="s">
        <v>30</v>
      </c>
      <c r="L149" s="21" t="s">
        <v>272</v>
      </c>
      <c r="M149" s="21"/>
      <c r="N149" s="21"/>
      <c r="O149" s="3"/>
      <c r="P149" s="41">
        <v>0</v>
      </c>
      <c r="Q149" s="41">
        <v>0</v>
      </c>
      <c r="R149" s="41">
        <v>0</v>
      </c>
      <c r="S149" s="41">
        <v>0</v>
      </c>
      <c r="T149" s="42">
        <v>0</v>
      </c>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20"/>
    </row>
    <row r="150" spans="1:68" s="2" customFormat="1" ht="75" customHeight="1" x14ac:dyDescent="0.2">
      <c r="A150" s="53"/>
      <c r="B150" s="1"/>
      <c r="C150" s="40" t="s">
        <v>26</v>
      </c>
      <c r="D150" s="21"/>
      <c r="E150" s="21" t="s">
        <v>382</v>
      </c>
      <c r="F150" s="21" t="s">
        <v>383</v>
      </c>
      <c r="G150" s="21">
        <v>2</v>
      </c>
      <c r="H150" s="21">
        <v>4</v>
      </c>
      <c r="I150" s="21">
        <f t="shared" si="7"/>
        <v>-2</v>
      </c>
      <c r="J150" s="21" t="s">
        <v>30</v>
      </c>
      <c r="K150" s="21" t="s">
        <v>30</v>
      </c>
      <c r="L150" s="21" t="s">
        <v>272</v>
      </c>
      <c r="M150" s="21"/>
      <c r="N150" s="21"/>
      <c r="O150" s="3"/>
      <c r="P150" s="41">
        <v>0</v>
      </c>
      <c r="Q150" s="41">
        <v>0</v>
      </c>
      <c r="R150" s="41">
        <v>0</v>
      </c>
      <c r="S150" s="41">
        <v>0</v>
      </c>
      <c r="T150" s="42">
        <v>0</v>
      </c>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20"/>
    </row>
    <row r="151" spans="1:68" s="2" customFormat="1" ht="30" customHeight="1" x14ac:dyDescent="0.2">
      <c r="A151" s="53"/>
      <c r="B151" s="1" t="s">
        <v>384</v>
      </c>
      <c r="C151" s="40"/>
      <c r="D151" s="21"/>
      <c r="E151" s="379" t="s">
        <v>38</v>
      </c>
      <c r="F151" s="380"/>
      <c r="G151" s="22">
        <f>SUM(G144:G150)/7</f>
        <v>2.2857142857142856</v>
      </c>
      <c r="H151" s="22">
        <f>SUM(H144:H150)/7</f>
        <v>4</v>
      </c>
      <c r="I151" s="22">
        <f>SUM(I144:I150)/7</f>
        <v>-1.7142857142857142</v>
      </c>
      <c r="J151" s="23" t="s">
        <v>16</v>
      </c>
      <c r="K151" s="391"/>
      <c r="L151" s="392"/>
      <c r="M151" s="392"/>
      <c r="N151" s="393"/>
      <c r="O151" s="24"/>
      <c r="P151" s="388">
        <v>0</v>
      </c>
      <c r="Q151" s="389"/>
      <c r="R151" s="389"/>
      <c r="S151" s="389"/>
      <c r="T151" s="390"/>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20"/>
    </row>
    <row r="152" spans="1:68" s="2" customFormat="1" ht="37.5" customHeight="1" x14ac:dyDescent="0.2">
      <c r="A152" s="53"/>
      <c r="B152" s="1"/>
      <c r="C152" s="36"/>
      <c r="D152" s="385" t="s">
        <v>385</v>
      </c>
      <c r="E152" s="386"/>
      <c r="F152" s="386"/>
      <c r="G152" s="386"/>
      <c r="H152" s="386"/>
      <c r="I152" s="386"/>
      <c r="J152" s="386"/>
      <c r="K152" s="386"/>
      <c r="L152" s="386"/>
      <c r="M152" s="386"/>
      <c r="N152" s="387"/>
      <c r="O152" s="3"/>
      <c r="P152" s="37">
        <v>0</v>
      </c>
      <c r="Q152" s="38">
        <v>0</v>
      </c>
      <c r="R152" s="37">
        <v>0</v>
      </c>
      <c r="S152" s="38">
        <v>0</v>
      </c>
      <c r="T152" s="39">
        <v>0</v>
      </c>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20"/>
    </row>
    <row r="153" spans="1:68" s="2" customFormat="1" ht="94.15" customHeight="1" x14ac:dyDescent="0.2">
      <c r="A153" s="53"/>
      <c r="B153" s="1"/>
      <c r="C153" s="40" t="s">
        <v>26</v>
      </c>
      <c r="D153" s="21" t="s">
        <v>386</v>
      </c>
      <c r="E153" s="21" t="s">
        <v>387</v>
      </c>
      <c r="F153" s="21" t="s">
        <v>388</v>
      </c>
      <c r="G153" s="21">
        <v>1</v>
      </c>
      <c r="H153" s="21">
        <v>4</v>
      </c>
      <c r="I153" s="21">
        <f t="shared" ref="I153:I165" si="8">G153-H153</f>
        <v>-3</v>
      </c>
      <c r="J153" s="21" t="s">
        <v>30</v>
      </c>
      <c r="K153" s="21" t="s">
        <v>30</v>
      </c>
      <c r="L153" s="21" t="s">
        <v>139</v>
      </c>
      <c r="M153" s="21"/>
      <c r="N153" s="21" t="s">
        <v>389</v>
      </c>
      <c r="O153" s="3"/>
      <c r="P153" s="41">
        <v>0</v>
      </c>
      <c r="Q153" s="41">
        <v>0</v>
      </c>
      <c r="R153" s="41">
        <v>0</v>
      </c>
      <c r="S153" s="41">
        <v>0</v>
      </c>
      <c r="T153" s="42">
        <v>0</v>
      </c>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20"/>
    </row>
    <row r="154" spans="1:68" s="2" customFormat="1" ht="75" customHeight="1" x14ac:dyDescent="0.2">
      <c r="A154" s="53"/>
      <c r="B154" s="1"/>
      <c r="C154" s="40" t="s">
        <v>26</v>
      </c>
      <c r="D154" s="21"/>
      <c r="E154" s="21" t="s">
        <v>390</v>
      </c>
      <c r="F154" s="21" t="s">
        <v>391</v>
      </c>
      <c r="G154" s="21">
        <v>1</v>
      </c>
      <c r="H154" s="21">
        <v>4</v>
      </c>
      <c r="I154" s="21">
        <f t="shared" si="8"/>
        <v>-3</v>
      </c>
      <c r="J154" s="21" t="s">
        <v>30</v>
      </c>
      <c r="K154" s="21" t="s">
        <v>30</v>
      </c>
      <c r="L154" s="21" t="s">
        <v>392</v>
      </c>
      <c r="M154" s="21"/>
      <c r="N154" s="21" t="s">
        <v>393</v>
      </c>
      <c r="O154" s="3"/>
      <c r="P154" s="41">
        <v>0</v>
      </c>
      <c r="Q154" s="41">
        <v>0</v>
      </c>
      <c r="R154" s="41">
        <v>0</v>
      </c>
      <c r="S154" s="41">
        <v>0</v>
      </c>
      <c r="T154" s="42">
        <v>0</v>
      </c>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row>
    <row r="155" spans="1:68" s="2" customFormat="1" ht="99" customHeight="1" x14ac:dyDescent="0.2">
      <c r="A155" s="53"/>
      <c r="B155" s="1"/>
      <c r="C155" s="40" t="s">
        <v>26</v>
      </c>
      <c r="D155" s="21"/>
      <c r="E155" s="28" t="s">
        <v>394</v>
      </c>
      <c r="F155" s="28" t="s">
        <v>395</v>
      </c>
      <c r="G155" s="21">
        <v>1</v>
      </c>
      <c r="H155" s="21">
        <v>4</v>
      </c>
      <c r="I155" s="21">
        <f t="shared" si="8"/>
        <v>-3</v>
      </c>
      <c r="J155" s="21" t="s">
        <v>30</v>
      </c>
      <c r="K155" s="21" t="s">
        <v>30</v>
      </c>
      <c r="L155" s="21" t="s">
        <v>392</v>
      </c>
      <c r="M155" s="21"/>
      <c r="N155" s="21" t="s">
        <v>393</v>
      </c>
      <c r="O155" s="3"/>
      <c r="P155" s="41">
        <v>0</v>
      </c>
      <c r="Q155" s="41">
        <v>0</v>
      </c>
      <c r="R155" s="41">
        <v>0</v>
      </c>
      <c r="S155" s="41">
        <v>0</v>
      </c>
      <c r="T155" s="42">
        <v>0</v>
      </c>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row>
    <row r="156" spans="1:68" s="2" customFormat="1" ht="75" customHeight="1" x14ac:dyDescent="0.2">
      <c r="A156" s="53"/>
      <c r="B156" s="1"/>
      <c r="C156" s="40" t="s">
        <v>26</v>
      </c>
      <c r="D156" s="21" t="s">
        <v>396</v>
      </c>
      <c r="E156" s="21" t="s">
        <v>397</v>
      </c>
      <c r="F156" s="21" t="s">
        <v>398</v>
      </c>
      <c r="G156" s="21">
        <v>1</v>
      </c>
      <c r="H156" s="21">
        <v>4</v>
      </c>
      <c r="I156" s="21">
        <f t="shared" si="8"/>
        <v>-3</v>
      </c>
      <c r="J156" s="21" t="s">
        <v>30</v>
      </c>
      <c r="K156" s="21" t="s">
        <v>30</v>
      </c>
      <c r="L156" s="21" t="s">
        <v>392</v>
      </c>
      <c r="M156" s="21"/>
      <c r="N156" s="21" t="s">
        <v>399</v>
      </c>
      <c r="O156" s="3"/>
      <c r="P156" s="41">
        <v>0</v>
      </c>
      <c r="Q156" s="41">
        <v>0</v>
      </c>
      <c r="R156" s="41">
        <v>0</v>
      </c>
      <c r="S156" s="41">
        <v>0</v>
      </c>
      <c r="T156" s="42">
        <v>0</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20"/>
    </row>
    <row r="157" spans="1:68" s="2" customFormat="1" ht="75" customHeight="1" x14ac:dyDescent="0.2">
      <c r="A157" s="53"/>
      <c r="B157" s="1"/>
      <c r="C157" s="40" t="s">
        <v>26</v>
      </c>
      <c r="D157" s="21"/>
      <c r="E157" s="21" t="s">
        <v>400</v>
      </c>
      <c r="F157" s="21" t="s">
        <v>401</v>
      </c>
      <c r="G157" s="21">
        <v>3</v>
      </c>
      <c r="H157" s="21">
        <v>4</v>
      </c>
      <c r="I157" s="21">
        <f t="shared" si="8"/>
        <v>-1</v>
      </c>
      <c r="J157" s="21" t="s">
        <v>30</v>
      </c>
      <c r="K157" s="21" t="s">
        <v>30</v>
      </c>
      <c r="L157" s="21" t="s">
        <v>402</v>
      </c>
      <c r="M157" s="21"/>
      <c r="N157" s="21" t="s">
        <v>403</v>
      </c>
      <c r="O157" s="3"/>
      <c r="P157" s="41">
        <v>0</v>
      </c>
      <c r="Q157" s="41">
        <v>0</v>
      </c>
      <c r="R157" s="41">
        <v>0</v>
      </c>
      <c r="S157" s="41">
        <v>0</v>
      </c>
      <c r="T157" s="42">
        <v>0</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20"/>
    </row>
    <row r="158" spans="1:68" s="2" customFormat="1" ht="95.25" customHeight="1" x14ac:dyDescent="0.2">
      <c r="A158" s="53"/>
      <c r="B158" s="1"/>
      <c r="C158" s="40" t="s">
        <v>26</v>
      </c>
      <c r="D158" s="21"/>
      <c r="E158" s="21" t="s">
        <v>404</v>
      </c>
      <c r="F158" s="21" t="s">
        <v>405</v>
      </c>
      <c r="G158" s="21">
        <v>2</v>
      </c>
      <c r="H158" s="21">
        <v>4</v>
      </c>
      <c r="I158" s="21">
        <f t="shared" si="8"/>
        <v>-2</v>
      </c>
      <c r="J158" s="21" t="s">
        <v>30</v>
      </c>
      <c r="K158" s="21" t="s">
        <v>30</v>
      </c>
      <c r="L158" s="21" t="s">
        <v>392</v>
      </c>
      <c r="M158" s="21"/>
      <c r="N158" s="21" t="s">
        <v>406</v>
      </c>
      <c r="O158" s="3"/>
      <c r="P158" s="41">
        <v>0</v>
      </c>
      <c r="Q158" s="41">
        <v>0</v>
      </c>
      <c r="R158" s="41">
        <v>0</v>
      </c>
      <c r="S158" s="41">
        <v>0</v>
      </c>
      <c r="T158" s="42">
        <v>0</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20"/>
    </row>
    <row r="159" spans="1:68" s="2" customFormat="1" ht="75" customHeight="1" x14ac:dyDescent="0.2">
      <c r="A159" s="53"/>
      <c r="B159" s="1"/>
      <c r="C159" s="40" t="s">
        <v>26</v>
      </c>
      <c r="D159" s="21"/>
      <c r="E159" s="21" t="s">
        <v>407</v>
      </c>
      <c r="F159" s="21" t="s">
        <v>408</v>
      </c>
      <c r="G159" s="21">
        <v>2</v>
      </c>
      <c r="H159" s="21">
        <v>4</v>
      </c>
      <c r="I159" s="21">
        <f t="shared" si="8"/>
        <v>-2</v>
      </c>
      <c r="J159" s="21" t="s">
        <v>30</v>
      </c>
      <c r="K159" s="21" t="s">
        <v>30</v>
      </c>
      <c r="L159" s="21" t="s">
        <v>392</v>
      </c>
      <c r="M159" s="21"/>
      <c r="N159" s="21" t="s">
        <v>403</v>
      </c>
      <c r="O159" s="3"/>
      <c r="P159" s="41">
        <v>0</v>
      </c>
      <c r="Q159" s="41">
        <v>0</v>
      </c>
      <c r="R159" s="41">
        <v>0</v>
      </c>
      <c r="S159" s="41">
        <v>0</v>
      </c>
      <c r="T159" s="42">
        <v>0</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20"/>
    </row>
    <row r="160" spans="1:68" s="2" customFormat="1" ht="75" customHeight="1" x14ac:dyDescent="0.2">
      <c r="A160" s="53"/>
      <c r="B160" s="1"/>
      <c r="C160" s="40" t="s">
        <v>26</v>
      </c>
      <c r="D160" s="21"/>
      <c r="E160" s="21" t="s">
        <v>409</v>
      </c>
      <c r="F160" s="21" t="s">
        <v>410</v>
      </c>
      <c r="G160" s="21">
        <v>2</v>
      </c>
      <c r="H160" s="21">
        <v>4</v>
      </c>
      <c r="I160" s="21">
        <f t="shared" si="8"/>
        <v>-2</v>
      </c>
      <c r="J160" s="21" t="s">
        <v>30</v>
      </c>
      <c r="K160" s="21" t="s">
        <v>30</v>
      </c>
      <c r="L160" s="21" t="s">
        <v>392</v>
      </c>
      <c r="M160" s="21"/>
      <c r="N160" s="21" t="s">
        <v>411</v>
      </c>
      <c r="O160" s="3"/>
      <c r="P160" s="41">
        <v>0</v>
      </c>
      <c r="Q160" s="41">
        <v>0</v>
      </c>
      <c r="R160" s="41">
        <v>0</v>
      </c>
      <c r="S160" s="41">
        <v>0</v>
      </c>
      <c r="T160" s="42">
        <v>0</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20"/>
    </row>
    <row r="161" spans="1:68" s="2" customFormat="1" ht="75" customHeight="1" x14ac:dyDescent="0.2">
      <c r="A161" s="53"/>
      <c r="B161" s="1"/>
      <c r="C161" s="40" t="s">
        <v>26</v>
      </c>
      <c r="D161" s="21"/>
      <c r="E161" s="21" t="s">
        <v>412</v>
      </c>
      <c r="F161" s="21" t="s">
        <v>413</v>
      </c>
      <c r="G161" s="21">
        <v>2</v>
      </c>
      <c r="H161" s="21">
        <v>4</v>
      </c>
      <c r="I161" s="21">
        <f t="shared" si="8"/>
        <v>-2</v>
      </c>
      <c r="J161" s="21" t="s">
        <v>30</v>
      </c>
      <c r="K161" s="21" t="s">
        <v>30</v>
      </c>
      <c r="L161" s="21" t="s">
        <v>392</v>
      </c>
      <c r="M161" s="21"/>
      <c r="N161" s="21" t="s">
        <v>411</v>
      </c>
      <c r="O161" s="3"/>
      <c r="P161" s="41">
        <v>0</v>
      </c>
      <c r="Q161" s="41">
        <v>0</v>
      </c>
      <c r="R161" s="41">
        <v>0</v>
      </c>
      <c r="S161" s="41">
        <v>0</v>
      </c>
      <c r="T161" s="42">
        <v>0</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20"/>
    </row>
    <row r="162" spans="1:68" s="2" customFormat="1" ht="75" customHeight="1" x14ac:dyDescent="0.2">
      <c r="A162" s="53"/>
      <c r="B162" s="1"/>
      <c r="C162" s="40" t="s">
        <v>26</v>
      </c>
      <c r="D162" s="21"/>
      <c r="E162" s="21" t="s">
        <v>414</v>
      </c>
      <c r="F162" s="21" t="s">
        <v>415</v>
      </c>
      <c r="G162" s="21">
        <v>2</v>
      </c>
      <c r="H162" s="21">
        <v>4</v>
      </c>
      <c r="I162" s="21">
        <f t="shared" si="8"/>
        <v>-2</v>
      </c>
      <c r="J162" s="21" t="s">
        <v>30</v>
      </c>
      <c r="K162" s="21" t="s">
        <v>30</v>
      </c>
      <c r="L162" s="21" t="s">
        <v>392</v>
      </c>
      <c r="M162" s="21"/>
      <c r="N162" s="21" t="s">
        <v>416</v>
      </c>
      <c r="O162" s="3"/>
      <c r="P162" s="41">
        <v>0</v>
      </c>
      <c r="Q162" s="41">
        <v>0</v>
      </c>
      <c r="R162" s="41">
        <v>0</v>
      </c>
      <c r="S162" s="41">
        <v>0</v>
      </c>
      <c r="T162" s="42">
        <v>0</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20"/>
    </row>
    <row r="163" spans="1:68" s="2" customFormat="1" ht="75" customHeight="1" x14ac:dyDescent="0.2">
      <c r="A163" s="53"/>
      <c r="B163" s="1"/>
      <c r="C163" s="40" t="s">
        <v>26</v>
      </c>
      <c r="D163" s="21"/>
      <c r="E163" s="21" t="s">
        <v>417</v>
      </c>
      <c r="F163" s="21" t="s">
        <v>418</v>
      </c>
      <c r="G163" s="21">
        <v>2</v>
      </c>
      <c r="H163" s="21">
        <v>4</v>
      </c>
      <c r="I163" s="21">
        <f t="shared" si="8"/>
        <v>-2</v>
      </c>
      <c r="J163" s="21" t="s">
        <v>30</v>
      </c>
      <c r="K163" s="21" t="s">
        <v>30</v>
      </c>
      <c r="L163" s="21" t="s">
        <v>392</v>
      </c>
      <c r="M163" s="21"/>
      <c r="N163" s="21" t="s">
        <v>411</v>
      </c>
      <c r="O163" s="3"/>
      <c r="P163" s="41">
        <v>0</v>
      </c>
      <c r="Q163" s="41">
        <v>0</v>
      </c>
      <c r="R163" s="41">
        <v>0</v>
      </c>
      <c r="S163" s="41">
        <v>0</v>
      </c>
      <c r="T163" s="42">
        <v>0</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20"/>
    </row>
    <row r="164" spans="1:68" s="2" customFormat="1" ht="75" customHeight="1" x14ac:dyDescent="0.2">
      <c r="A164" s="53"/>
      <c r="B164" s="1"/>
      <c r="C164" s="40" t="s">
        <v>26</v>
      </c>
      <c r="D164" s="21"/>
      <c r="E164" s="21" t="s">
        <v>419</v>
      </c>
      <c r="F164" s="21" t="s">
        <v>420</v>
      </c>
      <c r="G164" s="21">
        <v>2</v>
      </c>
      <c r="H164" s="21">
        <v>4</v>
      </c>
      <c r="I164" s="21">
        <f t="shared" si="8"/>
        <v>-2</v>
      </c>
      <c r="J164" s="21" t="s">
        <v>30</v>
      </c>
      <c r="K164" s="21" t="s">
        <v>30</v>
      </c>
      <c r="L164" s="21" t="s">
        <v>392</v>
      </c>
      <c r="M164" s="21"/>
      <c r="N164" s="21" t="s">
        <v>421</v>
      </c>
      <c r="O164" s="3"/>
      <c r="P164" s="41">
        <v>0</v>
      </c>
      <c r="Q164" s="41">
        <v>0</v>
      </c>
      <c r="R164" s="41">
        <v>0</v>
      </c>
      <c r="S164" s="41">
        <v>0</v>
      </c>
      <c r="T164" s="42">
        <v>0</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20"/>
    </row>
    <row r="165" spans="1:68" s="2" customFormat="1" ht="75" customHeight="1" x14ac:dyDescent="0.2">
      <c r="A165" s="53"/>
      <c r="B165" s="1"/>
      <c r="C165" s="40" t="s">
        <v>26</v>
      </c>
      <c r="D165" s="21" t="s">
        <v>422</v>
      </c>
      <c r="E165" s="21" t="s">
        <v>423</v>
      </c>
      <c r="F165" s="21" t="s">
        <v>424</v>
      </c>
      <c r="G165" s="21">
        <v>2</v>
      </c>
      <c r="H165" s="21">
        <v>4</v>
      </c>
      <c r="I165" s="21">
        <f t="shared" si="8"/>
        <v>-2</v>
      </c>
      <c r="J165" s="21" t="s">
        <v>30</v>
      </c>
      <c r="K165" s="21" t="s">
        <v>30</v>
      </c>
      <c r="L165" s="21" t="s">
        <v>392</v>
      </c>
      <c r="M165" s="21"/>
      <c r="N165" s="21" t="s">
        <v>425</v>
      </c>
      <c r="O165" s="3"/>
      <c r="P165" s="41">
        <v>0</v>
      </c>
      <c r="Q165" s="41">
        <v>0</v>
      </c>
      <c r="R165" s="41">
        <v>0</v>
      </c>
      <c r="S165" s="41">
        <v>0</v>
      </c>
      <c r="T165" s="42">
        <v>0</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20"/>
    </row>
    <row r="166" spans="1:68" s="2" customFormat="1" ht="30" customHeight="1" x14ac:dyDescent="0.2">
      <c r="A166" s="53"/>
      <c r="B166" s="1" t="s">
        <v>426</v>
      </c>
      <c r="C166" s="40"/>
      <c r="D166" s="21"/>
      <c r="E166" s="379" t="s">
        <v>38</v>
      </c>
      <c r="F166" s="380"/>
      <c r="G166" s="22">
        <f>SUM(G153:G165)/13</f>
        <v>1.7692307692307692</v>
      </c>
      <c r="H166" s="22">
        <f>SUM(H153:H165)/13</f>
        <v>4</v>
      </c>
      <c r="I166" s="22">
        <f>SUM(I153:I165)/13</f>
        <v>-2.2307692307692308</v>
      </c>
      <c r="J166" s="23" t="s">
        <v>16</v>
      </c>
      <c r="K166" s="391"/>
      <c r="L166" s="392"/>
      <c r="M166" s="392"/>
      <c r="N166" s="393"/>
      <c r="O166" s="24"/>
      <c r="P166" s="375">
        <v>0</v>
      </c>
      <c r="Q166" s="375"/>
      <c r="R166" s="375"/>
      <c r="S166" s="375"/>
      <c r="T166" s="375"/>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20"/>
    </row>
    <row r="167" spans="1:68" s="2" customFormat="1" ht="30" customHeight="1" x14ac:dyDescent="0.2">
      <c r="A167" s="53"/>
      <c r="B167" s="1"/>
      <c r="C167" s="36"/>
      <c r="D167" s="385" t="s">
        <v>427</v>
      </c>
      <c r="E167" s="386"/>
      <c r="F167" s="386"/>
      <c r="G167" s="386"/>
      <c r="H167" s="386"/>
      <c r="I167" s="386"/>
      <c r="J167" s="386"/>
      <c r="K167" s="386"/>
      <c r="L167" s="386"/>
      <c r="M167" s="386"/>
      <c r="N167" s="387"/>
      <c r="O167" s="3"/>
      <c r="P167" s="37">
        <v>0</v>
      </c>
      <c r="Q167" s="38">
        <v>0</v>
      </c>
      <c r="R167" s="37">
        <v>0</v>
      </c>
      <c r="S167" s="38">
        <v>0</v>
      </c>
      <c r="T167" s="39">
        <v>0</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20"/>
    </row>
    <row r="168" spans="1:68" s="2" customFormat="1" ht="75" customHeight="1" x14ac:dyDescent="0.2">
      <c r="A168" s="53"/>
      <c r="B168" s="1"/>
      <c r="C168" s="40" t="s">
        <v>26</v>
      </c>
      <c r="D168" s="21" t="s">
        <v>428</v>
      </c>
      <c r="E168" s="21" t="s">
        <v>429</v>
      </c>
      <c r="F168" s="21" t="s">
        <v>430</v>
      </c>
      <c r="G168" s="21">
        <v>2</v>
      </c>
      <c r="H168" s="21">
        <v>4</v>
      </c>
      <c r="I168" s="21">
        <f>G168-H168</f>
        <v>-2</v>
      </c>
      <c r="J168" s="21" t="s">
        <v>30</v>
      </c>
      <c r="K168" s="21" t="s">
        <v>30</v>
      </c>
      <c r="L168" s="21" t="s">
        <v>431</v>
      </c>
      <c r="M168" s="21"/>
      <c r="N168" s="21" t="s">
        <v>389</v>
      </c>
      <c r="O168" s="3"/>
      <c r="P168" s="41">
        <v>0</v>
      </c>
      <c r="Q168" s="41">
        <v>0</v>
      </c>
      <c r="R168" s="41">
        <v>0</v>
      </c>
      <c r="S168" s="41">
        <v>0</v>
      </c>
      <c r="T168" s="42">
        <v>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20"/>
    </row>
    <row r="169" spans="1:68" s="2" customFormat="1" ht="86.65" customHeight="1" x14ac:dyDescent="0.2">
      <c r="A169" s="53"/>
      <c r="B169" s="1"/>
      <c r="C169" s="40" t="s">
        <v>26</v>
      </c>
      <c r="D169" s="21"/>
      <c r="E169" s="21" t="s">
        <v>432</v>
      </c>
      <c r="F169" s="21" t="s">
        <v>433</v>
      </c>
      <c r="G169" s="21">
        <v>2</v>
      </c>
      <c r="H169" s="21">
        <v>4</v>
      </c>
      <c r="I169" s="21">
        <f>G169-H169</f>
        <v>-2</v>
      </c>
      <c r="J169" s="21" t="s">
        <v>30</v>
      </c>
      <c r="K169" s="21" t="s">
        <v>30</v>
      </c>
      <c r="L169" s="21" t="s">
        <v>431</v>
      </c>
      <c r="M169" s="21"/>
      <c r="N169" s="21" t="s">
        <v>434</v>
      </c>
      <c r="O169" s="3"/>
      <c r="P169" s="41">
        <v>0</v>
      </c>
      <c r="Q169" s="41">
        <v>0</v>
      </c>
      <c r="R169" s="41">
        <v>0</v>
      </c>
      <c r="S169" s="41">
        <v>0</v>
      </c>
      <c r="T169" s="42">
        <v>0</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20"/>
    </row>
    <row r="170" spans="1:68" s="2" customFormat="1" ht="75" customHeight="1" x14ac:dyDescent="0.2">
      <c r="A170" s="53"/>
      <c r="B170" s="1"/>
      <c r="C170" s="40" t="s">
        <v>26</v>
      </c>
      <c r="D170" s="21"/>
      <c r="E170" s="21" t="s">
        <v>435</v>
      </c>
      <c r="F170" s="21" t="s">
        <v>436</v>
      </c>
      <c r="G170" s="21">
        <v>2</v>
      </c>
      <c r="H170" s="21">
        <v>4</v>
      </c>
      <c r="I170" s="21">
        <f>G170-H170</f>
        <v>-2</v>
      </c>
      <c r="J170" s="21" t="s">
        <v>30</v>
      </c>
      <c r="K170" s="21" t="s">
        <v>30</v>
      </c>
      <c r="L170" s="21" t="s">
        <v>431</v>
      </c>
      <c r="M170" s="21"/>
      <c r="N170" s="21" t="s">
        <v>33</v>
      </c>
      <c r="O170" s="3"/>
      <c r="P170" s="41">
        <v>0</v>
      </c>
      <c r="Q170" s="41">
        <v>0</v>
      </c>
      <c r="R170" s="41">
        <v>0</v>
      </c>
      <c r="S170" s="41">
        <v>0</v>
      </c>
      <c r="T170" s="42">
        <v>0</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20"/>
    </row>
    <row r="171" spans="1:68" s="2" customFormat="1" ht="75" customHeight="1" x14ac:dyDescent="0.2">
      <c r="A171" s="53"/>
      <c r="B171" s="1"/>
      <c r="C171" s="40" t="s">
        <v>26</v>
      </c>
      <c r="D171" s="21" t="s">
        <v>437</v>
      </c>
      <c r="E171" s="21" t="s">
        <v>438</v>
      </c>
      <c r="F171" s="21" t="s">
        <v>439</v>
      </c>
      <c r="G171" s="21">
        <v>2</v>
      </c>
      <c r="H171" s="21">
        <v>4</v>
      </c>
      <c r="I171" s="21">
        <f>G171-H171</f>
        <v>-2</v>
      </c>
      <c r="J171" s="21" t="s">
        <v>30</v>
      </c>
      <c r="K171" s="21" t="s">
        <v>30</v>
      </c>
      <c r="L171" s="21" t="s">
        <v>431</v>
      </c>
      <c r="M171" s="21"/>
      <c r="N171" s="21" t="s">
        <v>393</v>
      </c>
      <c r="O171" s="3"/>
      <c r="P171" s="41">
        <v>0</v>
      </c>
      <c r="Q171" s="41">
        <v>0</v>
      </c>
      <c r="R171" s="41">
        <v>0</v>
      </c>
      <c r="S171" s="41">
        <v>0</v>
      </c>
      <c r="T171" s="42">
        <v>0</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20"/>
    </row>
    <row r="172" spans="1:68" s="2" customFormat="1" ht="133.15" customHeight="1" x14ac:dyDescent="0.2">
      <c r="A172" s="53"/>
      <c r="B172" s="1"/>
      <c r="C172" s="40" t="s">
        <v>26</v>
      </c>
      <c r="D172" s="21"/>
      <c r="E172" s="21" t="s">
        <v>440</v>
      </c>
      <c r="F172" s="21" t="s">
        <v>441</v>
      </c>
      <c r="G172" s="21">
        <v>2</v>
      </c>
      <c r="H172" s="21">
        <v>4</v>
      </c>
      <c r="I172" s="21">
        <f>G172-H172</f>
        <v>-2</v>
      </c>
      <c r="J172" s="21" t="s">
        <v>30</v>
      </c>
      <c r="K172" s="21" t="s">
        <v>30</v>
      </c>
      <c r="L172" s="21" t="s">
        <v>431</v>
      </c>
      <c r="M172" s="21"/>
      <c r="N172" s="21" t="s">
        <v>442</v>
      </c>
      <c r="O172" s="3"/>
      <c r="P172" s="41">
        <v>0</v>
      </c>
      <c r="Q172" s="41">
        <v>0</v>
      </c>
      <c r="R172" s="41">
        <v>0</v>
      </c>
      <c r="S172" s="41">
        <v>0</v>
      </c>
      <c r="T172" s="42">
        <v>0</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20"/>
    </row>
    <row r="173" spans="1:68" s="2" customFormat="1" ht="30" customHeight="1" x14ac:dyDescent="0.2">
      <c r="A173" s="53"/>
      <c r="B173" s="1" t="s">
        <v>443</v>
      </c>
      <c r="C173" s="40"/>
      <c r="D173" s="21"/>
      <c r="E173" s="379" t="s">
        <v>38</v>
      </c>
      <c r="F173" s="380"/>
      <c r="G173" s="22">
        <f>SUM(G168:G172)/5</f>
        <v>2</v>
      </c>
      <c r="H173" s="22">
        <f>SUM(H168:H172)/5</f>
        <v>4</v>
      </c>
      <c r="I173" s="22">
        <f>SUM(I168:I172)/5</f>
        <v>-2</v>
      </c>
      <c r="J173" s="23" t="s">
        <v>16</v>
      </c>
      <c r="K173" s="391"/>
      <c r="L173" s="392"/>
      <c r="M173" s="392"/>
      <c r="N173" s="393"/>
      <c r="O173" s="24"/>
      <c r="P173" s="375">
        <v>0</v>
      </c>
      <c r="Q173" s="375"/>
      <c r="R173" s="375"/>
      <c r="S173" s="375"/>
      <c r="T173" s="375"/>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20"/>
    </row>
    <row r="174" spans="1:68" s="2" customFormat="1" ht="37.5" customHeight="1" x14ac:dyDescent="0.2">
      <c r="A174" s="53"/>
      <c r="B174" s="1"/>
      <c r="C174" s="36"/>
      <c r="D174" s="385" t="s">
        <v>444</v>
      </c>
      <c r="E174" s="386"/>
      <c r="F174" s="386"/>
      <c r="G174" s="386"/>
      <c r="H174" s="386"/>
      <c r="I174" s="386"/>
      <c r="J174" s="386"/>
      <c r="K174" s="386"/>
      <c r="L174" s="386"/>
      <c r="M174" s="386"/>
      <c r="N174" s="387"/>
      <c r="O174" s="3"/>
      <c r="P174" s="37">
        <v>0</v>
      </c>
      <c r="Q174" s="38">
        <v>0</v>
      </c>
      <c r="R174" s="37">
        <v>0</v>
      </c>
      <c r="S174" s="38">
        <v>0</v>
      </c>
      <c r="T174" s="39">
        <v>0</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20"/>
    </row>
    <row r="175" spans="1:68" s="2" customFormat="1" ht="75" customHeight="1" x14ac:dyDescent="0.2">
      <c r="A175" s="53"/>
      <c r="B175" s="1"/>
      <c r="C175" s="40" t="s">
        <v>26</v>
      </c>
      <c r="D175" s="21" t="s">
        <v>445</v>
      </c>
      <c r="E175" s="21" t="s">
        <v>446</v>
      </c>
      <c r="F175" s="21" t="s">
        <v>447</v>
      </c>
      <c r="G175" s="21">
        <v>2</v>
      </c>
      <c r="H175" s="21">
        <v>4</v>
      </c>
      <c r="I175" s="21">
        <f t="shared" ref="I175:I181" si="9">G175-H175</f>
        <v>-2</v>
      </c>
      <c r="J175" s="21" t="s">
        <v>30</v>
      </c>
      <c r="K175" s="21" t="s">
        <v>30</v>
      </c>
      <c r="L175" s="21" t="s">
        <v>133</v>
      </c>
      <c r="M175" s="21"/>
      <c r="N175" s="21" t="s">
        <v>448</v>
      </c>
      <c r="O175" s="3"/>
      <c r="P175" s="41">
        <v>0</v>
      </c>
      <c r="Q175" s="41">
        <v>0</v>
      </c>
      <c r="R175" s="41">
        <v>0</v>
      </c>
      <c r="S175" s="41">
        <v>0</v>
      </c>
      <c r="T175" s="42">
        <v>0</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row>
    <row r="176" spans="1:68" s="2" customFormat="1" ht="75" customHeight="1" x14ac:dyDescent="0.2">
      <c r="A176" s="53"/>
      <c r="B176" s="1"/>
      <c r="C176" s="40" t="s">
        <v>26</v>
      </c>
      <c r="D176" s="21"/>
      <c r="E176" s="21" t="s">
        <v>449</v>
      </c>
      <c r="F176" s="21" t="s">
        <v>450</v>
      </c>
      <c r="G176" s="21">
        <v>2</v>
      </c>
      <c r="H176" s="21">
        <v>4</v>
      </c>
      <c r="I176" s="21">
        <f t="shared" si="9"/>
        <v>-2</v>
      </c>
      <c r="J176" s="21" t="s">
        <v>30</v>
      </c>
      <c r="K176" s="21" t="s">
        <v>30</v>
      </c>
      <c r="L176" s="21" t="s">
        <v>133</v>
      </c>
      <c r="M176" s="21"/>
      <c r="N176" s="21" t="s">
        <v>451</v>
      </c>
      <c r="O176" s="3"/>
      <c r="P176" s="41">
        <v>0</v>
      </c>
      <c r="Q176" s="41">
        <v>0</v>
      </c>
      <c r="R176" s="41">
        <v>0</v>
      </c>
      <c r="S176" s="41">
        <v>0</v>
      </c>
      <c r="T176" s="42">
        <v>0</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20"/>
    </row>
    <row r="177" spans="1:68" s="2" customFormat="1" ht="75" customHeight="1" x14ac:dyDescent="0.2">
      <c r="A177" s="53"/>
      <c r="B177" s="1"/>
      <c r="C177" s="40" t="s">
        <v>26</v>
      </c>
      <c r="D177" s="21"/>
      <c r="E177" s="21" t="s">
        <v>452</v>
      </c>
      <c r="F177" s="21" t="s">
        <v>453</v>
      </c>
      <c r="G177" s="21">
        <v>2</v>
      </c>
      <c r="H177" s="21">
        <v>4</v>
      </c>
      <c r="I177" s="21">
        <f t="shared" si="9"/>
        <v>-2</v>
      </c>
      <c r="J177" s="21" t="s">
        <v>30</v>
      </c>
      <c r="K177" s="21" t="s">
        <v>30</v>
      </c>
      <c r="L177" s="21" t="s">
        <v>133</v>
      </c>
      <c r="M177" s="21"/>
      <c r="N177" s="21" t="s">
        <v>451</v>
      </c>
      <c r="O177" s="3"/>
      <c r="P177" s="41">
        <v>0</v>
      </c>
      <c r="Q177" s="41">
        <v>0</v>
      </c>
      <c r="R177" s="41">
        <v>0</v>
      </c>
      <c r="S177" s="41">
        <v>0</v>
      </c>
      <c r="T177" s="42">
        <v>0</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20"/>
    </row>
    <row r="178" spans="1:68" s="2" customFormat="1" ht="75" customHeight="1" x14ac:dyDescent="0.2">
      <c r="A178" s="53"/>
      <c r="B178" s="1"/>
      <c r="C178" s="40" t="s">
        <v>26</v>
      </c>
      <c r="D178" s="21"/>
      <c r="E178" s="21" t="s">
        <v>454</v>
      </c>
      <c r="F178" s="21" t="s">
        <v>455</v>
      </c>
      <c r="G178" s="21">
        <v>2</v>
      </c>
      <c r="H178" s="21">
        <v>4</v>
      </c>
      <c r="I178" s="21">
        <f t="shared" si="9"/>
        <v>-2</v>
      </c>
      <c r="J178" s="21" t="s">
        <v>30</v>
      </c>
      <c r="K178" s="21" t="s">
        <v>30</v>
      </c>
      <c r="L178" s="21" t="s">
        <v>133</v>
      </c>
      <c r="M178" s="21"/>
      <c r="N178" s="21" t="s">
        <v>451</v>
      </c>
      <c r="O178" s="3"/>
      <c r="P178" s="41">
        <v>0</v>
      </c>
      <c r="Q178" s="41">
        <v>0</v>
      </c>
      <c r="R178" s="41">
        <v>0</v>
      </c>
      <c r="S178" s="41">
        <v>0</v>
      </c>
      <c r="T178" s="42">
        <v>0</v>
      </c>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20"/>
    </row>
    <row r="179" spans="1:68" s="2" customFormat="1" ht="75" customHeight="1" x14ac:dyDescent="0.2">
      <c r="A179" s="53"/>
      <c r="B179" s="1"/>
      <c r="C179" s="40" t="s">
        <v>26</v>
      </c>
      <c r="D179" s="21"/>
      <c r="E179" s="21" t="s">
        <v>456</v>
      </c>
      <c r="F179" s="21" t="s">
        <v>457</v>
      </c>
      <c r="G179" s="21">
        <v>2</v>
      </c>
      <c r="H179" s="21">
        <v>4</v>
      </c>
      <c r="I179" s="21">
        <f t="shared" si="9"/>
        <v>-2</v>
      </c>
      <c r="J179" s="21" t="s">
        <v>30</v>
      </c>
      <c r="K179" s="21" t="s">
        <v>30</v>
      </c>
      <c r="L179" s="21" t="s">
        <v>133</v>
      </c>
      <c r="M179" s="21"/>
      <c r="N179" s="21" t="s">
        <v>458</v>
      </c>
      <c r="O179" s="3"/>
      <c r="P179" s="41">
        <v>0</v>
      </c>
      <c r="Q179" s="41">
        <v>0</v>
      </c>
      <c r="R179" s="41">
        <v>0</v>
      </c>
      <c r="S179" s="41">
        <v>0</v>
      </c>
      <c r="T179" s="42">
        <v>0</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20"/>
    </row>
    <row r="180" spans="1:68" s="2" customFormat="1" ht="75" customHeight="1" x14ac:dyDescent="0.2">
      <c r="A180" s="53"/>
      <c r="B180" s="1"/>
      <c r="C180" s="40" t="s">
        <v>26</v>
      </c>
      <c r="D180" s="21"/>
      <c r="E180" s="21" t="s">
        <v>459</v>
      </c>
      <c r="F180" s="21" t="s">
        <v>460</v>
      </c>
      <c r="G180" s="21">
        <v>2</v>
      </c>
      <c r="H180" s="21">
        <v>4</v>
      </c>
      <c r="I180" s="21">
        <f t="shared" si="9"/>
        <v>-2</v>
      </c>
      <c r="J180" s="21" t="s">
        <v>30</v>
      </c>
      <c r="K180" s="21" t="s">
        <v>30</v>
      </c>
      <c r="L180" s="21" t="s">
        <v>133</v>
      </c>
      <c r="M180" s="21"/>
      <c r="N180" s="21" t="s">
        <v>451</v>
      </c>
      <c r="O180" s="3"/>
      <c r="P180" s="41">
        <v>0</v>
      </c>
      <c r="Q180" s="41">
        <v>0</v>
      </c>
      <c r="R180" s="41">
        <v>0</v>
      </c>
      <c r="S180" s="41">
        <v>0</v>
      </c>
      <c r="T180" s="42">
        <v>0</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20"/>
    </row>
    <row r="181" spans="1:68" s="2" customFormat="1" ht="75" customHeight="1" x14ac:dyDescent="0.2">
      <c r="A181" s="53"/>
      <c r="B181" s="1"/>
      <c r="C181" s="40" t="s">
        <v>26</v>
      </c>
      <c r="D181" s="21"/>
      <c r="E181" s="21" t="s">
        <v>461</v>
      </c>
      <c r="F181" s="21" t="s">
        <v>462</v>
      </c>
      <c r="G181" s="21">
        <v>2</v>
      </c>
      <c r="H181" s="21">
        <v>4</v>
      </c>
      <c r="I181" s="21">
        <f t="shared" si="9"/>
        <v>-2</v>
      </c>
      <c r="J181" s="21" t="s">
        <v>30</v>
      </c>
      <c r="K181" s="21" t="s">
        <v>30</v>
      </c>
      <c r="L181" s="21" t="s">
        <v>133</v>
      </c>
      <c r="M181" s="21"/>
      <c r="N181" s="21" t="s">
        <v>451</v>
      </c>
      <c r="O181" s="3"/>
      <c r="P181" s="41">
        <v>0</v>
      </c>
      <c r="Q181" s="41">
        <v>0</v>
      </c>
      <c r="R181" s="41">
        <v>0</v>
      </c>
      <c r="S181" s="41">
        <v>0</v>
      </c>
      <c r="T181" s="42">
        <v>0</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20"/>
    </row>
    <row r="182" spans="1:68" s="2" customFormat="1" ht="229.15" hidden="1" customHeight="1" x14ac:dyDescent="0.2">
      <c r="A182" s="53"/>
      <c r="B182" s="1"/>
      <c r="C182" s="43" t="s">
        <v>90</v>
      </c>
      <c r="D182" s="25"/>
      <c r="E182" s="25" t="s">
        <v>356</v>
      </c>
      <c r="F182" s="25" t="s">
        <v>357</v>
      </c>
      <c r="G182" s="25" t="s">
        <v>93</v>
      </c>
      <c r="H182" s="25" t="s">
        <v>93</v>
      </c>
      <c r="I182" s="25" t="s">
        <v>93</v>
      </c>
      <c r="J182" s="25" t="s">
        <v>30</v>
      </c>
      <c r="K182" s="25"/>
      <c r="L182" s="25"/>
      <c r="M182" s="29" t="s">
        <v>358</v>
      </c>
      <c r="N182" s="25" t="s">
        <v>95</v>
      </c>
      <c r="O182" s="3"/>
      <c r="P182" s="41">
        <v>0</v>
      </c>
      <c r="Q182" s="41">
        <v>0</v>
      </c>
      <c r="R182" s="41">
        <v>0</v>
      </c>
      <c r="S182" s="41">
        <v>0</v>
      </c>
      <c r="T182" s="42">
        <v>0</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20"/>
    </row>
    <row r="183" spans="1:68" s="2" customFormat="1" ht="75" hidden="1" customHeight="1" x14ac:dyDescent="0.2">
      <c r="A183" s="53"/>
      <c r="B183" s="1"/>
      <c r="C183" s="43" t="s">
        <v>90</v>
      </c>
      <c r="D183" s="25"/>
      <c r="E183" s="25" t="s">
        <v>356</v>
      </c>
      <c r="F183" s="25" t="s">
        <v>359</v>
      </c>
      <c r="G183" s="25" t="s">
        <v>93</v>
      </c>
      <c r="H183" s="25" t="s">
        <v>93</v>
      </c>
      <c r="I183" s="25" t="s">
        <v>93</v>
      </c>
      <c r="J183" s="25" t="s">
        <v>30</v>
      </c>
      <c r="K183" s="25"/>
      <c r="L183" s="25"/>
      <c r="M183" s="25"/>
      <c r="N183" s="25" t="s">
        <v>95</v>
      </c>
      <c r="O183" s="3"/>
      <c r="P183" s="41">
        <v>0</v>
      </c>
      <c r="Q183" s="41">
        <v>0</v>
      </c>
      <c r="R183" s="41">
        <v>0</v>
      </c>
      <c r="S183" s="41">
        <v>0</v>
      </c>
      <c r="T183" s="42">
        <v>0</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20"/>
    </row>
    <row r="184" spans="1:68" s="2" customFormat="1" ht="75" hidden="1" customHeight="1" x14ac:dyDescent="0.2">
      <c r="A184" s="53"/>
      <c r="B184" s="1"/>
      <c r="C184" s="43" t="s">
        <v>90</v>
      </c>
      <c r="D184" s="25"/>
      <c r="E184" s="25" t="s">
        <v>356</v>
      </c>
      <c r="F184" s="25" t="s">
        <v>360</v>
      </c>
      <c r="G184" s="25" t="s">
        <v>93</v>
      </c>
      <c r="H184" s="25" t="s">
        <v>93</v>
      </c>
      <c r="I184" s="25" t="s">
        <v>93</v>
      </c>
      <c r="J184" s="25" t="s">
        <v>30</v>
      </c>
      <c r="K184" s="25"/>
      <c r="L184" s="25"/>
      <c r="M184" s="25"/>
      <c r="N184" s="25" t="s">
        <v>95</v>
      </c>
      <c r="O184" s="3"/>
      <c r="P184" s="41">
        <v>0</v>
      </c>
      <c r="Q184" s="41">
        <v>0</v>
      </c>
      <c r="R184" s="41">
        <v>0</v>
      </c>
      <c r="S184" s="41">
        <v>0</v>
      </c>
      <c r="T184" s="42">
        <v>0</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20"/>
    </row>
    <row r="185" spans="1:68" s="2" customFormat="1" ht="75" hidden="1" customHeight="1" x14ac:dyDescent="0.2">
      <c r="A185" s="53"/>
      <c r="B185" s="1"/>
      <c r="C185" s="43" t="s">
        <v>90</v>
      </c>
      <c r="D185" s="25"/>
      <c r="E185" s="25" t="s">
        <v>356</v>
      </c>
      <c r="F185" s="25" t="s">
        <v>361</v>
      </c>
      <c r="G185" s="25" t="s">
        <v>93</v>
      </c>
      <c r="H185" s="25" t="s">
        <v>93</v>
      </c>
      <c r="I185" s="25" t="s">
        <v>93</v>
      </c>
      <c r="J185" s="25" t="s">
        <v>30</v>
      </c>
      <c r="K185" s="25"/>
      <c r="L185" s="25"/>
      <c r="M185" s="25"/>
      <c r="N185" s="25" t="s">
        <v>253</v>
      </c>
      <c r="O185" s="3"/>
      <c r="P185" s="41">
        <v>0</v>
      </c>
      <c r="Q185" s="41">
        <v>0</v>
      </c>
      <c r="R185" s="41">
        <v>0</v>
      </c>
      <c r="S185" s="41">
        <v>0</v>
      </c>
      <c r="T185" s="42">
        <v>0</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20"/>
    </row>
    <row r="186" spans="1:68" s="2" customFormat="1" ht="75" hidden="1" customHeight="1" x14ac:dyDescent="0.2">
      <c r="A186" s="53"/>
      <c r="B186" s="1"/>
      <c r="C186" s="43" t="s">
        <v>99</v>
      </c>
      <c r="D186" s="25"/>
      <c r="E186" s="25" t="s">
        <v>356</v>
      </c>
      <c r="F186" s="25" t="s">
        <v>362</v>
      </c>
      <c r="G186" s="25" t="s">
        <v>93</v>
      </c>
      <c r="H186" s="25" t="s">
        <v>93</v>
      </c>
      <c r="I186" s="25" t="s">
        <v>93</v>
      </c>
      <c r="J186" s="25" t="s">
        <v>30</v>
      </c>
      <c r="K186" s="25"/>
      <c r="L186" s="25"/>
      <c r="M186" s="25"/>
      <c r="N186" s="25" t="s">
        <v>253</v>
      </c>
      <c r="O186" s="3"/>
      <c r="P186" s="41">
        <v>0</v>
      </c>
      <c r="Q186" s="41">
        <v>0</v>
      </c>
      <c r="R186" s="41">
        <v>0</v>
      </c>
      <c r="S186" s="41">
        <v>0</v>
      </c>
      <c r="T186" s="42">
        <v>0</v>
      </c>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20"/>
    </row>
    <row r="187" spans="1:68" s="2" customFormat="1" ht="75" hidden="1" customHeight="1" x14ac:dyDescent="0.2">
      <c r="A187" s="53"/>
      <c r="B187" s="1"/>
      <c r="C187" s="43" t="s">
        <v>90</v>
      </c>
      <c r="D187" s="25"/>
      <c r="E187" s="25" t="s">
        <v>356</v>
      </c>
      <c r="F187" s="25" t="s">
        <v>363</v>
      </c>
      <c r="G187" s="25" t="s">
        <v>93</v>
      </c>
      <c r="H187" s="25" t="s">
        <v>93</v>
      </c>
      <c r="I187" s="25" t="s">
        <v>93</v>
      </c>
      <c r="J187" s="25" t="s">
        <v>30</v>
      </c>
      <c r="K187" s="25"/>
      <c r="L187" s="25"/>
      <c r="M187" s="25"/>
      <c r="N187" s="25" t="s">
        <v>253</v>
      </c>
      <c r="O187" s="3"/>
      <c r="P187" s="41">
        <v>0</v>
      </c>
      <c r="Q187" s="41">
        <v>0</v>
      </c>
      <c r="R187" s="41">
        <v>0</v>
      </c>
      <c r="S187" s="41">
        <v>0</v>
      </c>
      <c r="T187" s="42">
        <v>0</v>
      </c>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20"/>
    </row>
    <row r="188" spans="1:68" s="2" customFormat="1" ht="75" hidden="1" customHeight="1" x14ac:dyDescent="0.2">
      <c r="A188" s="53"/>
      <c r="B188" s="1"/>
      <c r="C188" s="43" t="s">
        <v>90</v>
      </c>
      <c r="D188" s="25"/>
      <c r="E188" s="25" t="s">
        <v>356</v>
      </c>
      <c r="F188" s="25" t="s">
        <v>364</v>
      </c>
      <c r="G188" s="25" t="s">
        <v>93</v>
      </c>
      <c r="H188" s="25" t="s">
        <v>93</v>
      </c>
      <c r="I188" s="25" t="s">
        <v>93</v>
      </c>
      <c r="J188" s="25" t="s">
        <v>30</v>
      </c>
      <c r="K188" s="25"/>
      <c r="L188" s="25"/>
      <c r="M188" s="25"/>
      <c r="N188" s="25" t="s">
        <v>258</v>
      </c>
      <c r="O188" s="3"/>
      <c r="P188" s="41">
        <v>0</v>
      </c>
      <c r="Q188" s="41">
        <v>0</v>
      </c>
      <c r="R188" s="41">
        <v>0</v>
      </c>
      <c r="S188" s="41">
        <v>0</v>
      </c>
      <c r="T188" s="42">
        <v>0</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20"/>
    </row>
    <row r="189" spans="1:68" s="2" customFormat="1" ht="30" customHeight="1" x14ac:dyDescent="0.2">
      <c r="A189" s="53"/>
      <c r="B189" s="1" t="s">
        <v>463</v>
      </c>
      <c r="C189" s="40"/>
      <c r="D189" s="21"/>
      <c r="E189" s="379" t="s">
        <v>38</v>
      </c>
      <c r="F189" s="380"/>
      <c r="G189" s="22">
        <f>SUM(G175:G181)/7</f>
        <v>2</v>
      </c>
      <c r="H189" s="22">
        <f>SUM(H175:H181)/7</f>
        <v>4</v>
      </c>
      <c r="I189" s="22">
        <f>SUM(I175:I181)/7</f>
        <v>-2</v>
      </c>
      <c r="J189" s="23" t="s">
        <v>16</v>
      </c>
      <c r="K189" s="391"/>
      <c r="L189" s="392"/>
      <c r="M189" s="392"/>
      <c r="N189" s="393"/>
      <c r="O189" s="24"/>
      <c r="P189" s="375">
        <v>0</v>
      </c>
      <c r="Q189" s="375"/>
      <c r="R189" s="375"/>
      <c r="S189" s="375"/>
      <c r="T189" s="375"/>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20"/>
    </row>
    <row r="190" spans="1:68" s="2" customFormat="1" ht="37.5" customHeight="1" x14ac:dyDescent="0.2">
      <c r="A190" s="53"/>
      <c r="B190" s="1"/>
      <c r="C190" s="36"/>
      <c r="D190" s="385" t="s">
        <v>464</v>
      </c>
      <c r="E190" s="386"/>
      <c r="F190" s="386"/>
      <c r="G190" s="386"/>
      <c r="H190" s="386"/>
      <c r="I190" s="386"/>
      <c r="J190" s="386"/>
      <c r="K190" s="386"/>
      <c r="L190" s="386"/>
      <c r="M190" s="386"/>
      <c r="N190" s="387"/>
      <c r="O190" s="3"/>
      <c r="P190" s="37">
        <v>0</v>
      </c>
      <c r="Q190" s="38">
        <v>0</v>
      </c>
      <c r="R190" s="37">
        <v>0</v>
      </c>
      <c r="S190" s="38">
        <v>0</v>
      </c>
      <c r="T190" s="39">
        <v>0</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20"/>
    </row>
    <row r="191" spans="1:68" s="2" customFormat="1" ht="75" customHeight="1" x14ac:dyDescent="0.2">
      <c r="A191" s="53"/>
      <c r="B191" s="1"/>
      <c r="C191" s="40" t="s">
        <v>26</v>
      </c>
      <c r="D191" s="21" t="s">
        <v>465</v>
      </c>
      <c r="E191" s="21" t="s">
        <v>466</v>
      </c>
      <c r="F191" s="21" t="s">
        <v>467</v>
      </c>
      <c r="G191" s="21">
        <v>2</v>
      </c>
      <c r="H191" s="21">
        <v>4</v>
      </c>
      <c r="I191" s="21">
        <f>G191-H191</f>
        <v>-2</v>
      </c>
      <c r="J191" s="21" t="s">
        <v>30</v>
      </c>
      <c r="K191" s="21" t="s">
        <v>30</v>
      </c>
      <c r="L191" s="21" t="s">
        <v>468</v>
      </c>
      <c r="M191" s="21" t="s">
        <v>469</v>
      </c>
      <c r="N191" s="21" t="s">
        <v>470</v>
      </c>
      <c r="O191" s="3"/>
      <c r="P191" s="41">
        <v>0</v>
      </c>
      <c r="Q191" s="41">
        <v>0</v>
      </c>
      <c r="R191" s="41">
        <v>0</v>
      </c>
      <c r="S191" s="41">
        <v>0</v>
      </c>
      <c r="T191" s="42">
        <v>0</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20"/>
    </row>
    <row r="192" spans="1:68" s="2" customFormat="1" ht="75" customHeight="1" x14ac:dyDescent="0.2">
      <c r="A192" s="53"/>
      <c r="B192" s="1"/>
      <c r="C192" s="40" t="s">
        <v>26</v>
      </c>
      <c r="D192" s="21"/>
      <c r="E192" s="21" t="s">
        <v>471</v>
      </c>
      <c r="F192" s="21" t="s">
        <v>472</v>
      </c>
      <c r="G192" s="21">
        <v>2</v>
      </c>
      <c r="H192" s="21">
        <v>4</v>
      </c>
      <c r="I192" s="21">
        <f>G192-H192</f>
        <v>-2</v>
      </c>
      <c r="J192" s="21" t="s">
        <v>30</v>
      </c>
      <c r="K192" s="21" t="s">
        <v>30</v>
      </c>
      <c r="L192" s="21" t="s">
        <v>468</v>
      </c>
      <c r="M192" s="21"/>
      <c r="N192" s="21" t="s">
        <v>473</v>
      </c>
      <c r="O192" s="3"/>
      <c r="P192" s="41">
        <v>0</v>
      </c>
      <c r="Q192" s="41">
        <v>0</v>
      </c>
      <c r="R192" s="41">
        <v>0</v>
      </c>
      <c r="S192" s="41">
        <v>0</v>
      </c>
      <c r="T192" s="42">
        <v>0</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20"/>
    </row>
    <row r="193" spans="1:68" s="2" customFormat="1" ht="75" customHeight="1" x14ac:dyDescent="0.2">
      <c r="A193" s="53"/>
      <c r="B193" s="1"/>
      <c r="C193" s="40" t="s">
        <v>26</v>
      </c>
      <c r="D193" s="21"/>
      <c r="E193" s="21" t="s">
        <v>474</v>
      </c>
      <c r="F193" s="21" t="s">
        <v>475</v>
      </c>
      <c r="G193" s="21">
        <v>2</v>
      </c>
      <c r="H193" s="21">
        <v>4</v>
      </c>
      <c r="I193" s="21">
        <f>G193-H193</f>
        <v>-2</v>
      </c>
      <c r="J193" s="21" t="s">
        <v>30</v>
      </c>
      <c r="K193" s="21" t="s">
        <v>30</v>
      </c>
      <c r="L193" s="21" t="s">
        <v>476</v>
      </c>
      <c r="M193" s="21"/>
      <c r="N193" s="21" t="s">
        <v>477</v>
      </c>
      <c r="O193" s="3"/>
      <c r="P193" s="41">
        <v>0</v>
      </c>
      <c r="Q193" s="41">
        <v>0</v>
      </c>
      <c r="R193" s="41">
        <v>0</v>
      </c>
      <c r="S193" s="41">
        <v>0</v>
      </c>
      <c r="T193" s="42">
        <v>0</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20"/>
    </row>
    <row r="194" spans="1:68" s="2" customFormat="1" ht="75" customHeight="1" x14ac:dyDescent="0.2">
      <c r="A194" s="53"/>
      <c r="B194" s="1"/>
      <c r="C194" s="40" t="s">
        <v>26</v>
      </c>
      <c r="D194" s="21" t="s">
        <v>478</v>
      </c>
      <c r="E194" s="21" t="s">
        <v>479</v>
      </c>
      <c r="F194" s="21" t="s">
        <v>480</v>
      </c>
      <c r="G194" s="21">
        <v>3</v>
      </c>
      <c r="H194" s="21">
        <v>4</v>
      </c>
      <c r="I194" s="21">
        <f>G194-H194</f>
        <v>-1</v>
      </c>
      <c r="J194" s="21" t="s">
        <v>30</v>
      </c>
      <c r="K194" s="21" t="s">
        <v>30</v>
      </c>
      <c r="L194" s="21" t="s">
        <v>272</v>
      </c>
      <c r="M194" s="21"/>
      <c r="N194" s="21" t="s">
        <v>481</v>
      </c>
      <c r="O194" s="3"/>
      <c r="P194" s="41">
        <v>0</v>
      </c>
      <c r="Q194" s="41">
        <v>0</v>
      </c>
      <c r="R194" s="41">
        <v>0</v>
      </c>
      <c r="S194" s="41">
        <v>0</v>
      </c>
      <c r="T194" s="42">
        <v>0</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20"/>
    </row>
    <row r="195" spans="1:68" s="2" customFormat="1" ht="30" customHeight="1" x14ac:dyDescent="0.2">
      <c r="A195" s="53"/>
      <c r="B195" s="1" t="s">
        <v>482</v>
      </c>
      <c r="C195" s="40"/>
      <c r="D195" s="21"/>
      <c r="E195" s="379" t="s">
        <v>38</v>
      </c>
      <c r="F195" s="380"/>
      <c r="G195" s="22">
        <f>SUM(G191:G194)/4</f>
        <v>2.25</v>
      </c>
      <c r="H195" s="22">
        <f>SUM(H191:H194)/4</f>
        <v>4</v>
      </c>
      <c r="I195" s="22">
        <f>SUM(I191:I194)/4</f>
        <v>-1.75</v>
      </c>
      <c r="J195" s="23" t="s">
        <v>16</v>
      </c>
      <c r="K195" s="391"/>
      <c r="L195" s="392"/>
      <c r="M195" s="392"/>
      <c r="N195" s="393"/>
      <c r="O195" s="24"/>
      <c r="P195" s="375">
        <v>0</v>
      </c>
      <c r="Q195" s="375"/>
      <c r="R195" s="375"/>
      <c r="S195" s="375"/>
      <c r="T195" s="375"/>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20"/>
    </row>
    <row r="196" spans="1:68" s="2" customFormat="1" ht="30" customHeight="1" x14ac:dyDescent="0.2">
      <c r="A196" s="53"/>
      <c r="B196" s="1"/>
      <c r="C196" s="36"/>
      <c r="D196" s="385" t="s">
        <v>483</v>
      </c>
      <c r="E196" s="386"/>
      <c r="F196" s="386"/>
      <c r="G196" s="386"/>
      <c r="H196" s="386"/>
      <c r="I196" s="386"/>
      <c r="J196" s="386"/>
      <c r="K196" s="386"/>
      <c r="L196" s="386"/>
      <c r="M196" s="386"/>
      <c r="N196" s="387"/>
      <c r="O196" s="3"/>
      <c r="P196" s="37">
        <v>0</v>
      </c>
      <c r="Q196" s="38">
        <v>0</v>
      </c>
      <c r="R196" s="37">
        <v>0</v>
      </c>
      <c r="S196" s="38">
        <v>0</v>
      </c>
      <c r="T196" s="39">
        <v>0</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20"/>
    </row>
    <row r="197" spans="1:68" s="2" customFormat="1" ht="106.5" customHeight="1" x14ac:dyDescent="0.2">
      <c r="A197" s="53"/>
      <c r="B197" s="1"/>
      <c r="C197" s="40" t="s">
        <v>26</v>
      </c>
      <c r="D197" s="21" t="s">
        <v>484</v>
      </c>
      <c r="E197" s="21" t="s">
        <v>485</v>
      </c>
      <c r="F197" s="21" t="s">
        <v>486</v>
      </c>
      <c r="G197" s="21">
        <v>2</v>
      </c>
      <c r="H197" s="21">
        <v>4</v>
      </c>
      <c r="I197" s="21">
        <f t="shared" ref="I197:I204" si="10">G197-H197</f>
        <v>-2</v>
      </c>
      <c r="J197" s="21" t="s">
        <v>30</v>
      </c>
      <c r="K197" s="21" t="s">
        <v>30</v>
      </c>
      <c r="L197" s="21" t="s">
        <v>272</v>
      </c>
      <c r="M197" s="21"/>
      <c r="N197" s="21" t="s">
        <v>33</v>
      </c>
      <c r="O197" s="3"/>
      <c r="P197" s="41">
        <v>0</v>
      </c>
      <c r="Q197" s="41">
        <v>0</v>
      </c>
      <c r="R197" s="41">
        <v>0</v>
      </c>
      <c r="S197" s="41">
        <v>0</v>
      </c>
      <c r="T197" s="42">
        <v>0</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20"/>
    </row>
    <row r="198" spans="1:68" s="2" customFormat="1" ht="75" customHeight="1" x14ac:dyDescent="0.2">
      <c r="A198" s="53"/>
      <c r="B198" s="1"/>
      <c r="C198" s="40" t="s">
        <v>26</v>
      </c>
      <c r="D198" s="21"/>
      <c r="E198" s="21" t="s">
        <v>487</v>
      </c>
      <c r="F198" s="21" t="s">
        <v>488</v>
      </c>
      <c r="G198" s="21">
        <v>2</v>
      </c>
      <c r="H198" s="21">
        <v>4</v>
      </c>
      <c r="I198" s="21">
        <f t="shared" si="10"/>
        <v>-2</v>
      </c>
      <c r="J198" s="21" t="s">
        <v>30</v>
      </c>
      <c r="K198" s="21" t="s">
        <v>30</v>
      </c>
      <c r="L198" s="21" t="s">
        <v>272</v>
      </c>
      <c r="M198" s="21"/>
      <c r="N198" s="21" t="s">
        <v>33</v>
      </c>
      <c r="O198" s="3"/>
      <c r="P198" s="41">
        <v>0</v>
      </c>
      <c r="Q198" s="41">
        <v>0</v>
      </c>
      <c r="R198" s="41">
        <v>0</v>
      </c>
      <c r="S198" s="41">
        <v>0</v>
      </c>
      <c r="T198" s="42">
        <v>0</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20"/>
    </row>
    <row r="199" spans="1:68" s="2" customFormat="1" ht="75" customHeight="1" x14ac:dyDescent="0.2">
      <c r="A199" s="53"/>
      <c r="B199" s="1"/>
      <c r="C199" s="40" t="s">
        <v>26</v>
      </c>
      <c r="D199" s="21"/>
      <c r="E199" s="21" t="s">
        <v>489</v>
      </c>
      <c r="F199" s="21" t="s">
        <v>490</v>
      </c>
      <c r="G199" s="21">
        <v>3</v>
      </c>
      <c r="H199" s="21">
        <v>4</v>
      </c>
      <c r="I199" s="21">
        <f t="shared" si="10"/>
        <v>-1</v>
      </c>
      <c r="J199" s="21" t="s">
        <v>30</v>
      </c>
      <c r="K199" s="21" t="s">
        <v>30</v>
      </c>
      <c r="L199" s="21" t="s">
        <v>272</v>
      </c>
      <c r="M199" s="44"/>
      <c r="N199" s="21" t="s">
        <v>33</v>
      </c>
      <c r="O199" s="3"/>
      <c r="P199" s="41">
        <v>0</v>
      </c>
      <c r="Q199" s="41">
        <v>0</v>
      </c>
      <c r="R199" s="41">
        <v>0</v>
      </c>
      <c r="S199" s="41">
        <v>0</v>
      </c>
      <c r="T199" s="42">
        <v>0</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20"/>
    </row>
    <row r="200" spans="1:68" s="2" customFormat="1" ht="75" customHeight="1" x14ac:dyDescent="0.2">
      <c r="A200" s="53"/>
      <c r="B200" s="1"/>
      <c r="C200" s="40" t="s">
        <v>26</v>
      </c>
      <c r="D200" s="21"/>
      <c r="E200" s="21" t="s">
        <v>491</v>
      </c>
      <c r="F200" s="21" t="s">
        <v>492</v>
      </c>
      <c r="G200" s="21">
        <v>3</v>
      </c>
      <c r="H200" s="21">
        <v>4</v>
      </c>
      <c r="I200" s="21">
        <f t="shared" si="10"/>
        <v>-1</v>
      </c>
      <c r="J200" s="21" t="s">
        <v>30</v>
      </c>
      <c r="K200" s="21" t="s">
        <v>30</v>
      </c>
      <c r="L200" s="21" t="s">
        <v>272</v>
      </c>
      <c r="M200" s="21"/>
      <c r="N200" s="21" t="s">
        <v>493</v>
      </c>
      <c r="O200" s="3"/>
      <c r="P200" s="41">
        <v>0</v>
      </c>
      <c r="Q200" s="41">
        <v>0</v>
      </c>
      <c r="R200" s="41">
        <v>0</v>
      </c>
      <c r="S200" s="41">
        <v>0</v>
      </c>
      <c r="T200" s="42">
        <v>0</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20"/>
    </row>
    <row r="201" spans="1:68" s="2" customFormat="1" ht="75" customHeight="1" x14ac:dyDescent="0.2">
      <c r="A201" s="53"/>
      <c r="B201" s="1"/>
      <c r="C201" s="40" t="s">
        <v>26</v>
      </c>
      <c r="D201" s="21"/>
      <c r="E201" s="21" t="s">
        <v>494</v>
      </c>
      <c r="F201" s="21" t="s">
        <v>495</v>
      </c>
      <c r="G201" s="21">
        <v>2</v>
      </c>
      <c r="H201" s="21">
        <v>4</v>
      </c>
      <c r="I201" s="21">
        <f t="shared" si="10"/>
        <v>-2</v>
      </c>
      <c r="J201" s="21" t="s">
        <v>30</v>
      </c>
      <c r="K201" s="21" t="s">
        <v>30</v>
      </c>
      <c r="L201" s="21" t="s">
        <v>272</v>
      </c>
      <c r="M201" s="21" t="s">
        <v>261</v>
      </c>
      <c r="N201" s="21" t="s">
        <v>33</v>
      </c>
      <c r="O201" s="3"/>
      <c r="P201" s="41">
        <v>0</v>
      </c>
      <c r="Q201" s="41">
        <v>0</v>
      </c>
      <c r="R201" s="41">
        <v>0</v>
      </c>
      <c r="S201" s="41">
        <v>0</v>
      </c>
      <c r="T201" s="42">
        <v>0</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20"/>
    </row>
    <row r="202" spans="1:68" s="2" customFormat="1" ht="103.5" customHeight="1" x14ac:dyDescent="0.2">
      <c r="A202" s="53"/>
      <c r="B202" s="1"/>
      <c r="C202" s="40" t="s">
        <v>26</v>
      </c>
      <c r="D202" s="21" t="s">
        <v>496</v>
      </c>
      <c r="E202" s="21" t="s">
        <v>497</v>
      </c>
      <c r="F202" s="21" t="s">
        <v>498</v>
      </c>
      <c r="G202" s="21">
        <v>2</v>
      </c>
      <c r="H202" s="21">
        <v>4</v>
      </c>
      <c r="I202" s="21">
        <f t="shared" si="10"/>
        <v>-2</v>
      </c>
      <c r="J202" s="21" t="s">
        <v>30</v>
      </c>
      <c r="K202" s="21" t="s">
        <v>30</v>
      </c>
      <c r="L202" s="21" t="s">
        <v>272</v>
      </c>
      <c r="M202" s="44"/>
      <c r="N202" s="21" t="s">
        <v>499</v>
      </c>
      <c r="O202" s="3"/>
      <c r="P202" s="41">
        <v>0</v>
      </c>
      <c r="Q202" s="41">
        <v>0</v>
      </c>
      <c r="R202" s="41">
        <v>0</v>
      </c>
      <c r="S202" s="41">
        <v>0</v>
      </c>
      <c r="T202" s="42">
        <v>0</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20"/>
    </row>
    <row r="203" spans="1:68" s="2" customFormat="1" ht="91.15" customHeight="1" x14ac:dyDescent="0.2">
      <c r="A203" s="53"/>
      <c r="B203" s="1"/>
      <c r="C203" s="40" t="s">
        <v>26</v>
      </c>
      <c r="D203" s="21"/>
      <c r="E203" s="21" t="s">
        <v>500</v>
      </c>
      <c r="F203" s="21" t="s">
        <v>501</v>
      </c>
      <c r="G203" s="21">
        <v>2</v>
      </c>
      <c r="H203" s="21">
        <v>4</v>
      </c>
      <c r="I203" s="21">
        <f t="shared" si="10"/>
        <v>-2</v>
      </c>
      <c r="J203" s="21" t="s">
        <v>30</v>
      </c>
      <c r="K203" s="21" t="s">
        <v>30</v>
      </c>
      <c r="L203" s="21" t="s">
        <v>272</v>
      </c>
      <c r="M203" s="44"/>
      <c r="N203" s="21" t="s">
        <v>499</v>
      </c>
      <c r="O203" s="3"/>
      <c r="P203" s="41">
        <v>0</v>
      </c>
      <c r="Q203" s="41">
        <v>0</v>
      </c>
      <c r="R203" s="41">
        <v>0</v>
      </c>
      <c r="S203" s="41">
        <v>0</v>
      </c>
      <c r="T203" s="42">
        <v>0</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20"/>
    </row>
    <row r="204" spans="1:68" s="2" customFormat="1" ht="75" customHeight="1" x14ac:dyDescent="0.2">
      <c r="A204" s="53"/>
      <c r="B204" s="1"/>
      <c r="C204" s="40" t="s">
        <v>26</v>
      </c>
      <c r="D204" s="21"/>
      <c r="E204" s="21" t="s">
        <v>502</v>
      </c>
      <c r="F204" s="21" t="s">
        <v>503</v>
      </c>
      <c r="G204" s="21">
        <v>2</v>
      </c>
      <c r="H204" s="21">
        <v>4</v>
      </c>
      <c r="I204" s="21">
        <f t="shared" si="10"/>
        <v>-2</v>
      </c>
      <c r="J204" s="21" t="s">
        <v>30</v>
      </c>
      <c r="K204" s="21" t="s">
        <v>30</v>
      </c>
      <c r="L204" s="21" t="s">
        <v>272</v>
      </c>
      <c r="M204" s="44"/>
      <c r="N204" s="21" t="s">
        <v>499</v>
      </c>
      <c r="O204" s="3"/>
      <c r="P204" s="41">
        <v>0</v>
      </c>
      <c r="Q204" s="41">
        <v>0</v>
      </c>
      <c r="R204" s="41">
        <v>0</v>
      </c>
      <c r="S204" s="41">
        <v>0</v>
      </c>
      <c r="T204" s="42">
        <v>0</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20"/>
    </row>
    <row r="205" spans="1:68" s="2" customFormat="1" ht="30" customHeight="1" thickBot="1" x14ac:dyDescent="0.25">
      <c r="A205" s="53"/>
      <c r="B205" s="1" t="s">
        <v>504</v>
      </c>
      <c r="C205" s="40"/>
      <c r="D205" s="21"/>
      <c r="E205" s="379" t="s">
        <v>38</v>
      </c>
      <c r="F205" s="380"/>
      <c r="G205" s="30">
        <f>SUM(G197:G204)/8</f>
        <v>2.25</v>
      </c>
      <c r="H205" s="30">
        <f>SUM(H197:H204)/8</f>
        <v>4</v>
      </c>
      <c r="I205" s="30">
        <f>SUM(I197:I204)/8</f>
        <v>-1.75</v>
      </c>
      <c r="J205" s="31" t="s">
        <v>16</v>
      </c>
      <c r="K205" s="404"/>
      <c r="L205" s="405"/>
      <c r="M205" s="405"/>
      <c r="N205" s="406"/>
      <c r="O205" s="3"/>
      <c r="P205" s="375">
        <v>0</v>
      </c>
      <c r="Q205" s="375"/>
      <c r="R205" s="375"/>
      <c r="S205" s="375"/>
      <c r="T205" s="375"/>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20"/>
    </row>
    <row r="206" spans="1:68" s="2" customFormat="1" ht="101.25" hidden="1" customHeight="1" x14ac:dyDescent="0.2">
      <c r="A206" s="53"/>
      <c r="B206" s="1"/>
      <c r="C206" s="43" t="s">
        <v>90</v>
      </c>
      <c r="D206" s="25"/>
      <c r="E206" s="25" t="s">
        <v>505</v>
      </c>
      <c r="F206" s="25" t="s">
        <v>506</v>
      </c>
      <c r="G206" s="25" t="s">
        <v>507</v>
      </c>
      <c r="H206" s="25" t="s">
        <v>507</v>
      </c>
      <c r="I206" s="25" t="s">
        <v>507</v>
      </c>
      <c r="J206" s="25" t="s">
        <v>30</v>
      </c>
      <c r="K206" s="25"/>
      <c r="L206" s="25"/>
      <c r="M206" s="25" t="s">
        <v>508</v>
      </c>
      <c r="N206" s="25" t="s">
        <v>95</v>
      </c>
      <c r="O206" s="3"/>
      <c r="P206" s="41">
        <v>0</v>
      </c>
      <c r="Q206" s="41">
        <v>0</v>
      </c>
      <c r="R206" s="41">
        <v>0</v>
      </c>
      <c r="S206" s="41">
        <v>0</v>
      </c>
      <c r="T206" s="42">
        <v>0</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20"/>
    </row>
    <row r="207" spans="1:68" s="2" customFormat="1" ht="75" hidden="1" customHeight="1" x14ac:dyDescent="0.2">
      <c r="A207" s="53"/>
      <c r="B207" s="1"/>
      <c r="C207" s="43" t="s">
        <v>90</v>
      </c>
      <c r="D207" s="25"/>
      <c r="E207" s="25" t="s">
        <v>505</v>
      </c>
      <c r="F207" s="25" t="s">
        <v>509</v>
      </c>
      <c r="G207" s="25" t="s">
        <v>507</v>
      </c>
      <c r="H207" s="25" t="s">
        <v>507</v>
      </c>
      <c r="I207" s="25" t="s">
        <v>507</v>
      </c>
      <c r="J207" s="25" t="s">
        <v>30</v>
      </c>
      <c r="K207" s="25"/>
      <c r="L207" s="25"/>
      <c r="M207" s="25"/>
      <c r="N207" s="25" t="s">
        <v>95</v>
      </c>
      <c r="O207" s="3"/>
      <c r="P207" s="41">
        <v>0</v>
      </c>
      <c r="Q207" s="41">
        <v>0</v>
      </c>
      <c r="R207" s="41">
        <v>0</v>
      </c>
      <c r="S207" s="41">
        <v>0</v>
      </c>
      <c r="T207" s="42">
        <v>0</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20"/>
    </row>
    <row r="208" spans="1:68" s="2" customFormat="1" ht="75" hidden="1" customHeight="1" x14ac:dyDescent="0.2">
      <c r="A208" s="53"/>
      <c r="B208" s="1"/>
      <c r="C208" s="43" t="s">
        <v>90</v>
      </c>
      <c r="D208" s="25"/>
      <c r="E208" s="25" t="s">
        <v>505</v>
      </c>
      <c r="F208" s="25" t="s">
        <v>510</v>
      </c>
      <c r="G208" s="25" t="s">
        <v>507</v>
      </c>
      <c r="H208" s="25" t="s">
        <v>507</v>
      </c>
      <c r="I208" s="25" t="s">
        <v>507</v>
      </c>
      <c r="J208" s="25" t="s">
        <v>30</v>
      </c>
      <c r="K208" s="25"/>
      <c r="L208" s="25"/>
      <c r="M208" s="25"/>
      <c r="N208" s="25" t="s">
        <v>95</v>
      </c>
      <c r="O208" s="3"/>
      <c r="P208" s="41">
        <v>0</v>
      </c>
      <c r="Q208" s="41">
        <v>0</v>
      </c>
      <c r="R208" s="41">
        <v>0</v>
      </c>
      <c r="S208" s="41">
        <v>0</v>
      </c>
      <c r="T208" s="42">
        <v>0</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20"/>
    </row>
    <row r="209" spans="1:68" s="2" customFormat="1" ht="75" hidden="1" customHeight="1" x14ac:dyDescent="0.2">
      <c r="A209" s="53"/>
      <c r="B209" s="1"/>
      <c r="C209" s="43" t="s">
        <v>90</v>
      </c>
      <c r="D209" s="25"/>
      <c r="E209" s="25" t="s">
        <v>505</v>
      </c>
      <c r="F209" s="25" t="s">
        <v>511</v>
      </c>
      <c r="G209" s="25" t="s">
        <v>507</v>
      </c>
      <c r="H209" s="25" t="s">
        <v>507</v>
      </c>
      <c r="I209" s="25" t="s">
        <v>507</v>
      </c>
      <c r="J209" s="25" t="s">
        <v>30</v>
      </c>
      <c r="K209" s="25"/>
      <c r="L209" s="25"/>
      <c r="M209" s="25"/>
      <c r="N209" s="25" t="s">
        <v>512</v>
      </c>
      <c r="O209" s="3"/>
      <c r="P209" s="41">
        <v>0</v>
      </c>
      <c r="Q209" s="41">
        <v>0</v>
      </c>
      <c r="R209" s="41">
        <v>0</v>
      </c>
      <c r="S209" s="41">
        <v>0</v>
      </c>
      <c r="T209" s="42">
        <v>0</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20"/>
    </row>
    <row r="210" spans="1:68" s="2" customFormat="1" ht="75" hidden="1" customHeight="1" x14ac:dyDescent="0.2">
      <c r="A210" s="53"/>
      <c r="B210" s="1"/>
      <c r="C210" s="43" t="s">
        <v>99</v>
      </c>
      <c r="D210" s="25"/>
      <c r="E210" s="25" t="s">
        <v>505</v>
      </c>
      <c r="F210" s="25" t="s">
        <v>513</v>
      </c>
      <c r="G210" s="25" t="s">
        <v>507</v>
      </c>
      <c r="H210" s="25" t="s">
        <v>507</v>
      </c>
      <c r="I210" s="25" t="s">
        <v>507</v>
      </c>
      <c r="J210" s="25" t="s">
        <v>30</v>
      </c>
      <c r="K210" s="25"/>
      <c r="L210" s="25"/>
      <c r="M210" s="25"/>
      <c r="N210" s="25" t="s">
        <v>514</v>
      </c>
      <c r="O210" s="3"/>
      <c r="P210" s="41">
        <v>0</v>
      </c>
      <c r="Q210" s="41">
        <v>0</v>
      </c>
      <c r="R210" s="41">
        <v>0</v>
      </c>
      <c r="S210" s="41">
        <v>0</v>
      </c>
      <c r="T210" s="42">
        <v>0</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20"/>
    </row>
    <row r="211" spans="1:68" s="2" customFormat="1" ht="75" hidden="1" customHeight="1" x14ac:dyDescent="0.2">
      <c r="A211" s="53"/>
      <c r="B211" s="1"/>
      <c r="C211" s="43" t="s">
        <v>90</v>
      </c>
      <c r="D211" s="25"/>
      <c r="E211" s="25" t="s">
        <v>505</v>
      </c>
      <c r="F211" s="25" t="s">
        <v>201</v>
      </c>
      <c r="G211" s="25" t="s">
        <v>507</v>
      </c>
      <c r="H211" s="25" t="s">
        <v>507</v>
      </c>
      <c r="I211" s="25" t="s">
        <v>507</v>
      </c>
      <c r="J211" s="25" t="s">
        <v>30</v>
      </c>
      <c r="K211" s="25"/>
      <c r="L211" s="25"/>
      <c r="M211" s="25"/>
      <c r="N211" s="25" t="s">
        <v>514</v>
      </c>
      <c r="O211" s="3"/>
      <c r="P211" s="41">
        <v>0</v>
      </c>
      <c r="Q211" s="41">
        <v>0</v>
      </c>
      <c r="R211" s="41">
        <v>0</v>
      </c>
      <c r="S211" s="41">
        <v>0</v>
      </c>
      <c r="T211" s="42">
        <v>0</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20"/>
    </row>
    <row r="212" spans="1:68" s="2" customFormat="1" ht="75" hidden="1" customHeight="1" thickBot="1" x14ac:dyDescent="0.25">
      <c r="A212" s="53"/>
      <c r="B212" s="1"/>
      <c r="C212" s="43" t="s">
        <v>90</v>
      </c>
      <c r="D212" s="25"/>
      <c r="E212" s="25" t="s">
        <v>505</v>
      </c>
      <c r="F212" s="25" t="s">
        <v>202</v>
      </c>
      <c r="G212" s="59" t="s">
        <v>507</v>
      </c>
      <c r="H212" s="59" t="s">
        <v>507</v>
      </c>
      <c r="I212" s="59" t="s">
        <v>507</v>
      </c>
      <c r="J212" s="25" t="s">
        <v>30</v>
      </c>
      <c r="K212" s="25"/>
      <c r="L212" s="25"/>
      <c r="M212" s="25"/>
      <c r="N212" s="25" t="s">
        <v>514</v>
      </c>
      <c r="O212" s="3"/>
      <c r="P212" s="41">
        <v>0</v>
      </c>
      <c r="Q212" s="41">
        <v>0</v>
      </c>
      <c r="R212" s="41">
        <v>0</v>
      </c>
      <c r="S212" s="41">
        <v>0</v>
      </c>
      <c r="T212" s="42">
        <v>0</v>
      </c>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20"/>
    </row>
    <row r="213" spans="1:68" s="2" customFormat="1" ht="43.5" customHeight="1" thickBot="1" x14ac:dyDescent="0.25">
      <c r="A213" s="53"/>
      <c r="B213" s="1" t="s">
        <v>515</v>
      </c>
      <c r="C213" s="57" t="s">
        <v>516</v>
      </c>
      <c r="D213" s="58" t="s">
        <v>517</v>
      </c>
      <c r="E213" s="58" t="s">
        <v>518</v>
      </c>
      <c r="F213" s="58"/>
      <c r="G213" s="60">
        <f>(G8+G11+G14+G35+G39+G48+G56+G75+G98+G102+G119+G142+G151+G166+G173+G189+G195+G205)/18</f>
        <v>2.8567765567765568</v>
      </c>
      <c r="H213" s="61">
        <f>(H8+H11+H14+H35+H39+H48+H56+H75+H98+H102+H119+H142+H151+H166+H173+H189+H195+H205)/18</f>
        <v>4</v>
      </c>
      <c r="I213" s="62">
        <f>(I8+I11+I14+I35+I39+I48+I56+I75+I98+I102+I119+I142+I151+I166+I173+I189+I195+I205)/18</f>
        <v>-1.1432234432234434</v>
      </c>
      <c r="J213" s="52" t="s">
        <v>16</v>
      </c>
      <c r="K213" s="407"/>
      <c r="L213" s="408"/>
      <c r="M213" s="408"/>
      <c r="N213" s="409"/>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2"/>
    </row>
    <row r="214" spans="1:68" ht="30" customHeight="1" x14ac:dyDescent="0.2">
      <c r="G214" s="34"/>
      <c r="H214" s="34"/>
      <c r="I214" s="34"/>
    </row>
  </sheetData>
  <autoFilter ref="D1:D214" xr:uid="{D27B4B23-0299-4B89-A63E-919F6B3FB160}"/>
  <mergeCells count="99">
    <mergeCell ref="P173:T173"/>
    <mergeCell ref="P205:T205"/>
    <mergeCell ref="K213:N213"/>
    <mergeCell ref="K8:N8"/>
    <mergeCell ref="C1:T1"/>
    <mergeCell ref="D49:N49"/>
    <mergeCell ref="P35:T35"/>
    <mergeCell ref="K48:N48"/>
    <mergeCell ref="K39:N39"/>
    <mergeCell ref="K35:N35"/>
    <mergeCell ref="K14:N14"/>
    <mergeCell ref="K11:N11"/>
    <mergeCell ref="K119:N119"/>
    <mergeCell ref="K102:N102"/>
    <mergeCell ref="K98:N98"/>
    <mergeCell ref="K75:N75"/>
    <mergeCell ref="K205:N205"/>
    <mergeCell ref="K195:N195"/>
    <mergeCell ref="K189:N189"/>
    <mergeCell ref="K173:N173"/>
    <mergeCell ref="K166:N166"/>
    <mergeCell ref="D190:N190"/>
    <mergeCell ref="D196:N196"/>
    <mergeCell ref="E189:F189"/>
    <mergeCell ref="E195:F195"/>
    <mergeCell ref="E205:F205"/>
    <mergeCell ref="E166:F166"/>
    <mergeCell ref="E173:F173"/>
    <mergeCell ref="AN2:AT2"/>
    <mergeCell ref="D57:N57"/>
    <mergeCell ref="D40:N40"/>
    <mergeCell ref="D36:N36"/>
    <mergeCell ref="P48:T48"/>
    <mergeCell ref="AS3:BD3"/>
    <mergeCell ref="AV2:BP2"/>
    <mergeCell ref="BE3:BP3"/>
    <mergeCell ref="T3:T4"/>
    <mergeCell ref="P39:T39"/>
    <mergeCell ref="F3:F4"/>
    <mergeCell ref="E3:E4"/>
    <mergeCell ref="D3:D4"/>
    <mergeCell ref="Q3:Q4"/>
    <mergeCell ref="R3:R4"/>
    <mergeCell ref="S3:S4"/>
    <mergeCell ref="P102:T102"/>
    <mergeCell ref="D9:N9"/>
    <mergeCell ref="D76:N76"/>
    <mergeCell ref="P11:T11"/>
    <mergeCell ref="D103:N103"/>
    <mergeCell ref="D99:N99"/>
    <mergeCell ref="E14:F14"/>
    <mergeCell ref="E35:F35"/>
    <mergeCell ref="D12:N12"/>
    <mergeCell ref="D15:N15"/>
    <mergeCell ref="E102:F102"/>
    <mergeCell ref="K56:N56"/>
    <mergeCell ref="P195:T195"/>
    <mergeCell ref="D120:N120"/>
    <mergeCell ref="D143:N143"/>
    <mergeCell ref="P119:T119"/>
    <mergeCell ref="P142:T142"/>
    <mergeCell ref="D174:N174"/>
    <mergeCell ref="E151:F151"/>
    <mergeCell ref="P151:T151"/>
    <mergeCell ref="D167:N167"/>
    <mergeCell ref="K151:N151"/>
    <mergeCell ref="K142:N142"/>
    <mergeCell ref="E119:F119"/>
    <mergeCell ref="E142:F142"/>
    <mergeCell ref="P189:T189"/>
    <mergeCell ref="P166:T166"/>
    <mergeCell ref="D152:N152"/>
    <mergeCell ref="C3:C4"/>
    <mergeCell ref="J3:J4"/>
    <mergeCell ref="I3:I4"/>
    <mergeCell ref="D5:N5"/>
    <mergeCell ref="K3:K4"/>
    <mergeCell ref="E8:F8"/>
    <mergeCell ref="E11:F11"/>
    <mergeCell ref="G3:G4"/>
    <mergeCell ref="H3:H4"/>
    <mergeCell ref="P98:T98"/>
    <mergeCell ref="E39:F39"/>
    <mergeCell ref="E48:F48"/>
    <mergeCell ref="E56:F56"/>
    <mergeCell ref="E75:F75"/>
    <mergeCell ref="E98:F98"/>
    <mergeCell ref="P56:T56"/>
    <mergeCell ref="P14:T14"/>
    <mergeCell ref="N3:N4"/>
    <mergeCell ref="M3:M4"/>
    <mergeCell ref="L3:L4"/>
    <mergeCell ref="P75:T75"/>
    <mergeCell ref="P8:T8"/>
    <mergeCell ref="AD2:AG2"/>
    <mergeCell ref="AI2:AL2"/>
    <mergeCell ref="P2:S2"/>
    <mergeCell ref="P3:P4"/>
    <mergeCell ref="X2:AB2"/>
  </mergeCells>
  <conditionalFormatting sqref="G2:G48 G50:G1048576">
    <cfRule type="colorScale" priority="2">
      <colorScale>
        <cfvo type="min"/>
        <cfvo type="percentile" val="50"/>
        <cfvo type="max"/>
        <color rgb="FFF8696B"/>
        <color rgb="FFFFC000"/>
        <color rgb="FF63BE7B"/>
      </colorScale>
    </cfRule>
  </conditionalFormatting>
  <conditionalFormatting sqref="H2:H48 H50:H1048576">
    <cfRule type="colorScale" priority="1">
      <colorScale>
        <cfvo type="min"/>
        <cfvo type="percentile" val="50"/>
        <cfvo type="max"/>
        <color rgb="FFF8696B"/>
        <color rgb="FFFFC000"/>
        <color rgb="FF63BE7B"/>
      </colorScale>
    </cfRule>
  </conditionalFormatting>
  <conditionalFormatting sqref="I2:I48 I50:I1048576">
    <cfRule type="colorScale" priority="3">
      <colorScale>
        <cfvo type="min"/>
        <cfvo type="percentile" val="50"/>
        <cfvo type="max"/>
        <color rgb="FFF8696B"/>
        <color rgb="FFFFC000"/>
        <color rgb="FF63BE7B"/>
      </colorScale>
    </cfRule>
  </conditionalFormatting>
  <conditionalFormatting sqref="U4:BP4">
    <cfRule type="expression" dxfId="78" priority="1387">
      <formula>U$4=period_selected</formula>
    </cfRule>
  </conditionalFormatting>
  <conditionalFormatting sqref="U5:BP212">
    <cfRule type="expression" dxfId="77" priority="12">
      <formula>PercentComplete</formula>
    </cfRule>
    <cfRule type="expression" dxfId="76" priority="13">
      <formula>PercentCompleteBeyond</formula>
    </cfRule>
    <cfRule type="expression" dxfId="75" priority="14">
      <formula>Actual</formula>
    </cfRule>
    <cfRule type="expression" dxfId="74" priority="15">
      <formula>ActualBeyond</formula>
    </cfRule>
    <cfRule type="expression" dxfId="73" priority="16">
      <formula>Plan</formula>
    </cfRule>
    <cfRule type="expression" dxfId="72" priority="17">
      <formula>U$4=period_selected</formula>
    </cfRule>
    <cfRule type="expression" dxfId="71" priority="18">
      <formula>MOD(COLUMN(),2)</formula>
    </cfRule>
    <cfRule type="expression" dxfId="70" priority="19">
      <formula>MOD(COLUMN(),2)=0</formula>
    </cfRule>
  </conditionalFormatting>
  <dataValidations count="12">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U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W2" xr:uid="{00000000-0002-0000-0000-000002000000}"/>
    <dataValidation allowBlank="1" showInputMessage="1" showErrorMessage="1" prompt="This legend cell indicates actual duration" sqref="AC2" xr:uid="{00000000-0002-0000-0000-000003000000}"/>
    <dataValidation allowBlank="1" showInputMessage="1" showErrorMessage="1" prompt="This legend cell indicates the percentage of project completed" sqref="AH2" xr:uid="{00000000-0002-0000-0000-000004000000}"/>
    <dataValidation allowBlank="1" showInputMessage="1" showErrorMessage="1" prompt="This legend cell indicates actual duration beyond plan" sqref="AM2" xr:uid="{00000000-0002-0000-0000-000005000000}"/>
    <dataValidation allowBlank="1" showInputMessage="1" showErrorMessage="1" prompt="This legend cell indicates the percentage of project completed beyond plan" sqref="AU2" xr:uid="{00000000-0002-0000-0000-000006000000}"/>
    <dataValidation allowBlank="1" showInputMessage="1" showErrorMessage="1" prompt="Enter plan start period in column C, starting with cell C5" sqref="P3:P4" xr:uid="{00000000-0002-0000-0000-000007000000}"/>
    <dataValidation allowBlank="1" showInputMessage="1" showErrorMessage="1" prompt="Enter plan duration period in column D, starting with cell D5" sqref="Q3:Q4" xr:uid="{00000000-0002-0000-0000-000008000000}"/>
    <dataValidation allowBlank="1" showInputMessage="1" showErrorMessage="1" prompt="Enter actual start period in column E, starting with cell E5" sqref="R3:R4" xr:uid="{00000000-0002-0000-0000-000009000000}"/>
    <dataValidation allowBlank="1" showInputMessage="1" showErrorMessage="1" prompt="Enter actual duration period in column F, starting with cell F5" sqref="S3:S4" xr:uid="{00000000-0002-0000-0000-00000A000000}"/>
    <dataValidation allowBlank="1" showInputMessage="1" showErrorMessage="1" prompt="Enter the percentage of project completed in column G, starting with cell G5" sqref="T3:T4" xr:uid="{00000000-0002-0000-0000-00000B000000}"/>
    <dataValidation allowBlank="1" showInputMessage="1" showErrorMessage="1" prompt="Select a period to highlight in H2. A Chart legend is in J2 to AI2" sqref="P2:S2" xr:uid="{00000000-0002-0000-0000-00000C000000}"/>
  </dataValidations>
  <printOptions horizontalCentered="1"/>
  <pageMargins left="0.45" right="0.45" top="0.5" bottom="0.5" header="0.3" footer="0.3"/>
  <pageSetup paperSize="8" scale="38"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FC4C-4AA0-446F-8680-96A7FCCAE19B}">
  <sheetPr>
    <tabColor rgb="FF7030A0"/>
  </sheetPr>
  <dimension ref="A1:F20"/>
  <sheetViews>
    <sheetView zoomScaleNormal="100" workbookViewId="0">
      <selection sqref="A1:E1"/>
    </sheetView>
  </sheetViews>
  <sheetFormatPr defaultColWidth="9" defaultRowHeight="14.25" x14ac:dyDescent="0.2"/>
  <cols>
    <col min="1" max="1" width="27.25" style="56" customWidth="1"/>
    <col min="2" max="2" width="5.75" style="56" customWidth="1"/>
    <col min="3" max="3" width="14.25" style="55" customWidth="1"/>
    <col min="4" max="4" width="8.625" style="55" customWidth="1"/>
    <col min="5" max="5" width="6.75" style="55" customWidth="1"/>
    <col min="6" max="6" width="9" style="55"/>
    <col min="7" max="16384" width="9" style="56"/>
  </cols>
  <sheetData>
    <row r="1" spans="1:6" ht="77.25" customHeight="1" thickBot="1" x14ac:dyDescent="0.25">
      <c r="A1" s="412" t="s">
        <v>519</v>
      </c>
      <c r="B1" s="413"/>
      <c r="C1" s="413"/>
      <c r="D1" s="413"/>
      <c r="E1" s="414"/>
    </row>
    <row r="2" spans="1:6" ht="55.5" customHeight="1" x14ac:dyDescent="0.2">
      <c r="C2" s="55" t="s">
        <v>32</v>
      </c>
      <c r="D2" s="54">
        <f>'ISO27001'!G8</f>
        <v>3.5</v>
      </c>
      <c r="E2" s="54">
        <f>'ISO27001'!H8</f>
        <v>4</v>
      </c>
      <c r="F2" s="54">
        <f>'ISO27001'!I8</f>
        <v>-0.5</v>
      </c>
    </row>
    <row r="3" spans="1:6" ht="15" customHeight="1" x14ac:dyDescent="0.2">
      <c r="C3" s="55" t="s">
        <v>45</v>
      </c>
      <c r="D3" s="54">
        <f>'ISO27001'!G11</f>
        <v>5</v>
      </c>
      <c r="E3" s="54">
        <f>'ISO27001'!H11</f>
        <v>4</v>
      </c>
      <c r="F3" s="54">
        <f>'ISO27001'!I11</f>
        <v>1</v>
      </c>
    </row>
    <row r="4" spans="1:6" ht="15" customHeight="1" x14ac:dyDescent="0.2">
      <c r="C4" s="55" t="s">
        <v>52</v>
      </c>
      <c r="D4" s="54">
        <f>'ISO27001'!G14</f>
        <v>5</v>
      </c>
      <c r="E4" s="54">
        <f>'ISO27001'!H14</f>
        <v>4</v>
      </c>
      <c r="F4" s="54">
        <f>'ISO27001'!I14</f>
        <v>1</v>
      </c>
    </row>
    <row r="5" spans="1:6" ht="15" customHeight="1" x14ac:dyDescent="0.2">
      <c r="C5" s="55" t="s">
        <v>104</v>
      </c>
      <c r="D5" s="54">
        <f>'ISO27001'!G35</f>
        <v>4.5384615384615383</v>
      </c>
      <c r="E5" s="54">
        <f>'ISO27001'!H35</f>
        <v>4</v>
      </c>
      <c r="F5" s="54">
        <f>'ISO27001'!I35</f>
        <v>0.53846153846153844</v>
      </c>
    </row>
    <row r="6" spans="1:6" ht="15" customHeight="1" x14ac:dyDescent="0.2">
      <c r="C6" s="55" t="s">
        <v>111</v>
      </c>
      <c r="D6" s="54">
        <f>'ISO27001'!G39</f>
        <v>4.5</v>
      </c>
      <c r="E6" s="54">
        <f>'ISO27001'!H39</f>
        <v>4</v>
      </c>
      <c r="F6" s="54">
        <f>'ISO27001'!I39</f>
        <v>0.5</v>
      </c>
    </row>
    <row r="7" spans="1:6" ht="15" customHeight="1" x14ac:dyDescent="0.2">
      <c r="C7" s="55" t="s">
        <v>134</v>
      </c>
      <c r="D7" s="54">
        <f>'ISO27001'!G48</f>
        <v>2.5714285714285716</v>
      </c>
      <c r="E7" s="54">
        <f>'ISO27001'!H48</f>
        <v>4</v>
      </c>
      <c r="F7" s="54">
        <f>'ISO27001'!I48</f>
        <v>-1.4285714285714286</v>
      </c>
    </row>
    <row r="8" spans="1:6" ht="15" customHeight="1" x14ac:dyDescent="0.2">
      <c r="C8" s="55" t="s">
        <v>159</v>
      </c>
      <c r="D8" s="54">
        <f>'ISO27001'!G56</f>
        <v>2.6666666666666665</v>
      </c>
      <c r="E8" s="54">
        <f>'ISO27001'!H56</f>
        <v>4</v>
      </c>
      <c r="F8" s="54">
        <f>'ISO27001'!I56</f>
        <v>-1.3333333333333333</v>
      </c>
    </row>
    <row r="9" spans="1:6" ht="15" customHeight="1" x14ac:dyDescent="0.2">
      <c r="C9" s="55" t="s">
        <v>203</v>
      </c>
      <c r="D9" s="54">
        <f>'ISO27001'!G75</f>
        <v>2.5</v>
      </c>
      <c r="E9" s="54">
        <f>'ISO27001'!H75</f>
        <v>4</v>
      </c>
      <c r="F9" s="54">
        <f>'ISO27001'!I75</f>
        <v>-1.5</v>
      </c>
    </row>
    <row r="10" spans="1:6" ht="15" customHeight="1" x14ac:dyDescent="0.2">
      <c r="C10" s="55" t="s">
        <v>259</v>
      </c>
      <c r="D10" s="54">
        <f>'ISO27001'!G98</f>
        <v>2.3571428571428572</v>
      </c>
      <c r="E10" s="54">
        <f>'ISO27001'!H98</f>
        <v>4</v>
      </c>
      <c r="F10" s="54">
        <f>'ISO27001'!I98</f>
        <v>-1.6428571428571428</v>
      </c>
    </row>
    <row r="11" spans="1:6" ht="15" customHeight="1" x14ac:dyDescent="0.2">
      <c r="C11" s="55" t="s">
        <v>267</v>
      </c>
      <c r="D11" s="54">
        <f>'ISO27001'!G102</f>
        <v>2</v>
      </c>
      <c r="E11" s="54">
        <f>'ISO27001'!H102</f>
        <v>4</v>
      </c>
      <c r="F11" s="54">
        <f>'ISO27001'!I102</f>
        <v>-2</v>
      </c>
    </row>
    <row r="12" spans="1:6" ht="15" customHeight="1" x14ac:dyDescent="0.2">
      <c r="C12" s="55" t="s">
        <v>307</v>
      </c>
      <c r="D12" s="54">
        <f>'ISO27001'!G119</f>
        <v>1.7333333333333334</v>
      </c>
      <c r="E12" s="54">
        <f>'ISO27001'!H119</f>
        <v>4</v>
      </c>
      <c r="F12" s="54">
        <f>'ISO27001'!I119</f>
        <v>-2.2666666666666666</v>
      </c>
    </row>
    <row r="13" spans="1:6" ht="15" customHeight="1" x14ac:dyDescent="0.2">
      <c r="C13" s="55" t="s">
        <v>365</v>
      </c>
      <c r="D13" s="54">
        <f>'ISO27001'!G142</f>
        <v>2.5</v>
      </c>
      <c r="E13" s="54">
        <f>'ISO27001'!H142</f>
        <v>4</v>
      </c>
      <c r="F13" s="54">
        <f>'ISO27001'!I142</f>
        <v>-1.5</v>
      </c>
    </row>
    <row r="14" spans="1:6" ht="15" customHeight="1" x14ac:dyDescent="0.2">
      <c r="C14" s="55" t="s">
        <v>384</v>
      </c>
      <c r="D14" s="54">
        <f>'ISO27001'!G151</f>
        <v>2.2857142857142856</v>
      </c>
      <c r="E14" s="54">
        <f>'ISO27001'!H151</f>
        <v>4</v>
      </c>
      <c r="F14" s="54">
        <f>'ISO27001'!I151</f>
        <v>-1.7142857142857142</v>
      </c>
    </row>
    <row r="15" spans="1:6" ht="15" customHeight="1" x14ac:dyDescent="0.2">
      <c r="C15" s="55" t="s">
        <v>426</v>
      </c>
      <c r="D15" s="54">
        <f>'ISO27001'!G166</f>
        <v>1.7692307692307692</v>
      </c>
      <c r="E15" s="54">
        <f>'ISO27001'!H166</f>
        <v>4</v>
      </c>
      <c r="F15" s="54">
        <f>'ISO27001'!I166</f>
        <v>-2.2307692307692308</v>
      </c>
    </row>
    <row r="16" spans="1:6" ht="15" customHeight="1" x14ac:dyDescent="0.2">
      <c r="C16" s="55" t="s">
        <v>443</v>
      </c>
      <c r="D16" s="54">
        <f>'ISO27001'!G173</f>
        <v>2</v>
      </c>
      <c r="E16" s="54">
        <f>'ISO27001'!H173</f>
        <v>4</v>
      </c>
      <c r="F16" s="54">
        <f>'ISO27001'!I173</f>
        <v>-2</v>
      </c>
    </row>
    <row r="17" spans="3:6" ht="15" customHeight="1" x14ac:dyDescent="0.2">
      <c r="C17" s="55" t="s">
        <v>463</v>
      </c>
      <c r="D17" s="54">
        <f>'ISO27001'!G189</f>
        <v>2</v>
      </c>
      <c r="E17" s="54">
        <f>'ISO27001'!H189</f>
        <v>4</v>
      </c>
      <c r="F17" s="54">
        <f>'ISO27001'!I189</f>
        <v>-2</v>
      </c>
    </row>
    <row r="18" spans="3:6" ht="15" customHeight="1" x14ac:dyDescent="0.2">
      <c r="C18" s="55" t="s">
        <v>482</v>
      </c>
      <c r="D18" s="54">
        <f>'ISO27001'!G195</f>
        <v>2.25</v>
      </c>
      <c r="E18" s="54">
        <f>'ISO27001'!H195</f>
        <v>4</v>
      </c>
      <c r="F18" s="54">
        <f>'ISO27001'!I195</f>
        <v>-1.75</v>
      </c>
    </row>
    <row r="19" spans="3:6" ht="15" customHeight="1" x14ac:dyDescent="0.2">
      <c r="C19" s="55" t="s">
        <v>504</v>
      </c>
      <c r="D19" s="54">
        <f>'ISO27001'!G205</f>
        <v>2.25</v>
      </c>
      <c r="E19" s="54">
        <f>'ISO27001'!H205</f>
        <v>4</v>
      </c>
      <c r="F19" s="54">
        <f>'ISO27001'!I205</f>
        <v>-1.75</v>
      </c>
    </row>
    <row r="20" spans="3:6" x14ac:dyDescent="0.2">
      <c r="C20" s="55" t="s">
        <v>520</v>
      </c>
      <c r="D20" s="54">
        <f>'ISO27001'!G213</f>
        <v>2.8567765567765568</v>
      </c>
      <c r="E20" s="54">
        <f>'ISO27001'!H213</f>
        <v>4</v>
      </c>
      <c r="F20" s="54">
        <f>'ISO27001'!I213</f>
        <v>-1.1432234432234434</v>
      </c>
    </row>
  </sheetData>
  <mergeCells count="1">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zoomScale="62" zoomScaleNormal="90" workbookViewId="0">
      <selection activeCell="U15" sqref="U15"/>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415" t="s">
        <v>1893</v>
      </c>
      <c r="B1" s="416"/>
      <c r="C1" s="416"/>
      <c r="D1" s="416"/>
      <c r="E1" s="246"/>
      <c r="F1" s="417" t="s">
        <v>1882</v>
      </c>
      <c r="G1" s="417"/>
      <c r="H1" s="417"/>
      <c r="I1" s="417"/>
      <c r="J1" s="343"/>
      <c r="K1" s="344"/>
      <c r="L1" s="345"/>
      <c r="M1" s="345"/>
      <c r="N1" s="346">
        <v>45880</v>
      </c>
      <c r="O1" s="347"/>
      <c r="P1" s="418"/>
      <c r="Q1" s="419"/>
      <c r="R1" s="420"/>
      <c r="S1" s="345"/>
      <c r="T1" s="345"/>
      <c r="U1" s="345"/>
    </row>
    <row r="2" spans="1:23" ht="15" x14ac:dyDescent="0.2">
      <c r="A2" s="415"/>
      <c r="B2" s="416"/>
      <c r="C2" s="416"/>
      <c r="D2" s="416"/>
      <c r="E2" s="246"/>
      <c r="F2" s="417" t="s">
        <v>1883</v>
      </c>
      <c r="G2" s="417"/>
      <c r="H2" s="417"/>
      <c r="I2" s="417"/>
      <c r="J2" s="343"/>
      <c r="K2" s="344"/>
      <c r="L2" s="345"/>
      <c r="M2" s="345"/>
      <c r="N2" s="346">
        <v>45880</v>
      </c>
      <c r="O2" s="345"/>
      <c r="P2" s="348"/>
      <c r="Q2" s="344"/>
      <c r="R2" s="345"/>
      <c r="S2" s="345"/>
      <c r="T2" s="345"/>
      <c r="U2" s="345"/>
    </row>
    <row r="3" spans="1:23" ht="15" x14ac:dyDescent="0.2">
      <c r="A3" s="416"/>
      <c r="B3" s="416"/>
      <c r="C3" s="416"/>
      <c r="D3" s="416"/>
      <c r="E3" s="246"/>
      <c r="F3" s="417" t="s">
        <v>1862</v>
      </c>
      <c r="G3" s="417"/>
      <c r="H3" s="417"/>
      <c r="I3" s="417"/>
      <c r="J3" s="421"/>
      <c r="K3" s="419"/>
      <c r="L3" s="345"/>
      <c r="M3" s="345"/>
      <c r="N3" s="349">
        <v>46195</v>
      </c>
      <c r="O3" s="345"/>
      <c r="P3" s="418"/>
      <c r="Q3" s="420"/>
      <c r="R3" s="420"/>
      <c r="S3" s="345"/>
      <c r="T3" s="345"/>
      <c r="U3" s="345"/>
    </row>
    <row r="4" spans="1:23" ht="15" x14ac:dyDescent="0.2">
      <c r="A4" s="345"/>
      <c r="B4" s="345"/>
      <c r="C4" s="345"/>
      <c r="D4" s="345"/>
      <c r="E4" s="163"/>
      <c r="F4" s="163"/>
      <c r="G4" s="163"/>
      <c r="H4" s="163"/>
      <c r="I4" s="163"/>
      <c r="J4" s="345"/>
      <c r="K4" s="345"/>
      <c r="L4" s="345"/>
      <c r="M4" s="345"/>
      <c r="N4" s="345"/>
      <c r="O4" s="345"/>
      <c r="P4" s="163"/>
      <c r="Q4" s="163"/>
      <c r="R4" s="163"/>
      <c r="S4" s="163"/>
      <c r="T4" s="163"/>
      <c r="U4" s="163"/>
    </row>
    <row r="5" spans="1:23" ht="45" x14ac:dyDescent="0.2">
      <c r="A5" s="362" t="s">
        <v>1863</v>
      </c>
      <c r="B5" s="362" t="s">
        <v>1864</v>
      </c>
      <c r="C5" s="362" t="s">
        <v>1865</v>
      </c>
      <c r="D5" s="362" t="s">
        <v>1861</v>
      </c>
      <c r="E5" s="362" t="s">
        <v>1866</v>
      </c>
      <c r="F5" s="362" t="s">
        <v>1867</v>
      </c>
      <c r="G5" s="362" t="s">
        <v>1868</v>
      </c>
      <c r="H5" s="362" t="s">
        <v>1869</v>
      </c>
      <c r="I5" s="362" t="s">
        <v>1870</v>
      </c>
      <c r="J5" s="351" t="s">
        <v>1871</v>
      </c>
      <c r="K5" s="351" t="s">
        <v>1872</v>
      </c>
      <c r="L5" s="351" t="s">
        <v>1873</v>
      </c>
      <c r="M5" s="351" t="s">
        <v>1874</v>
      </c>
      <c r="N5" s="363" t="s">
        <v>1875</v>
      </c>
      <c r="O5" s="364" t="s">
        <v>1876</v>
      </c>
      <c r="P5" s="363" t="s">
        <v>1877</v>
      </c>
      <c r="Q5" s="363" t="s">
        <v>1878</v>
      </c>
      <c r="R5" s="363" t="s">
        <v>1879</v>
      </c>
      <c r="S5" s="363" t="s">
        <v>1880</v>
      </c>
      <c r="T5" s="363" t="s">
        <v>1870</v>
      </c>
      <c r="U5" s="350" t="s">
        <v>1881</v>
      </c>
      <c r="V5" s="350" t="s">
        <v>1891</v>
      </c>
      <c r="W5" s="371" t="s">
        <v>1892</v>
      </c>
    </row>
    <row r="6" spans="1:23" ht="195" x14ac:dyDescent="0.2">
      <c r="A6" s="352">
        <v>1</v>
      </c>
      <c r="B6" s="353">
        <v>45327</v>
      </c>
      <c r="C6" s="354" t="s">
        <v>1320</v>
      </c>
      <c r="D6" s="166" t="s">
        <v>1894</v>
      </c>
      <c r="E6" s="355">
        <v>4</v>
      </c>
      <c r="F6" s="355">
        <v>4</v>
      </c>
      <c r="G6" s="352">
        <f t="shared" ref="G6:G10" si="0">SUM(E6*F6)</f>
        <v>16</v>
      </c>
      <c r="H6" s="355">
        <v>16</v>
      </c>
      <c r="I6" s="355">
        <f t="shared" ref="I6:I10" si="1">G6-H6</f>
        <v>0</v>
      </c>
      <c r="J6" s="355">
        <f t="shared" ref="J6:J10" si="2">IF(C6="open",G6,0)</f>
        <v>0</v>
      </c>
      <c r="K6" s="355">
        <f t="shared" ref="K6:K10" si="3">IF(J6&gt;0,1,0)</f>
        <v>0</v>
      </c>
      <c r="L6" s="355">
        <f t="shared" ref="L6:L10" si="4">IF(C6="being mitigated",G6,0)</f>
        <v>0</v>
      </c>
      <c r="M6" s="355">
        <f t="shared" ref="M6:M10" si="5">IF(L6&gt;0,1,0)</f>
        <v>0</v>
      </c>
      <c r="N6" s="356" t="s">
        <v>1909</v>
      </c>
      <c r="O6" s="356" t="s">
        <v>1910</v>
      </c>
      <c r="P6" s="355">
        <v>4</v>
      </c>
      <c r="Q6" s="355">
        <v>1</v>
      </c>
      <c r="R6" s="358">
        <f t="shared" ref="R6:R10" si="6">SUM(P6*Q6)</f>
        <v>4</v>
      </c>
      <c r="S6" s="355">
        <v>4</v>
      </c>
      <c r="T6" s="355">
        <f>R6-S6</f>
        <v>0</v>
      </c>
      <c r="U6" s="356" t="s">
        <v>1930</v>
      </c>
      <c r="V6" s="372" t="s">
        <v>1931</v>
      </c>
      <c r="W6" s="373" t="s">
        <v>1911</v>
      </c>
    </row>
    <row r="7" spans="1:23" ht="270" x14ac:dyDescent="0.2">
      <c r="A7" s="352">
        <v>2</v>
      </c>
      <c r="B7" s="353">
        <v>45327</v>
      </c>
      <c r="C7" s="354" t="s">
        <v>1320</v>
      </c>
      <c r="D7" s="166" t="s">
        <v>1903</v>
      </c>
      <c r="E7" s="355">
        <v>4</v>
      </c>
      <c r="F7" s="355">
        <v>4</v>
      </c>
      <c r="G7" s="359">
        <f t="shared" si="0"/>
        <v>16</v>
      </c>
      <c r="H7" s="355">
        <v>6</v>
      </c>
      <c r="I7" s="355">
        <f t="shared" si="1"/>
        <v>10</v>
      </c>
      <c r="J7" s="355">
        <f t="shared" si="2"/>
        <v>0</v>
      </c>
      <c r="K7" s="355">
        <f t="shared" si="3"/>
        <v>0</v>
      </c>
      <c r="L7" s="355">
        <f t="shared" si="4"/>
        <v>0</v>
      </c>
      <c r="M7" s="355">
        <f t="shared" si="5"/>
        <v>0</v>
      </c>
      <c r="N7" s="356" t="s">
        <v>1912</v>
      </c>
      <c r="O7" s="357" t="s">
        <v>1913</v>
      </c>
      <c r="P7" s="355">
        <v>4</v>
      </c>
      <c r="Q7" s="355">
        <v>2</v>
      </c>
      <c r="R7" s="358">
        <f t="shared" si="6"/>
        <v>8</v>
      </c>
      <c r="S7" s="355">
        <v>6</v>
      </c>
      <c r="T7" s="355">
        <f t="shared" ref="T7:T10" si="7">R7-S7</f>
        <v>2</v>
      </c>
      <c r="U7" s="360" t="s">
        <v>1914</v>
      </c>
      <c r="V7" s="360"/>
      <c r="W7" s="373" t="s">
        <v>1911</v>
      </c>
    </row>
    <row r="8" spans="1:23" ht="195" x14ac:dyDescent="0.2">
      <c r="A8" s="352">
        <v>3</v>
      </c>
      <c r="B8" s="353">
        <v>45327</v>
      </c>
      <c r="C8" s="354" t="s">
        <v>1320</v>
      </c>
      <c r="D8" s="166" t="s">
        <v>1895</v>
      </c>
      <c r="E8" s="355">
        <v>4</v>
      </c>
      <c r="F8" s="355">
        <v>3</v>
      </c>
      <c r="G8" s="352">
        <v>12</v>
      </c>
      <c r="H8" s="355">
        <v>12</v>
      </c>
      <c r="I8" s="355">
        <f t="shared" si="1"/>
        <v>0</v>
      </c>
      <c r="J8" s="355">
        <f t="shared" si="2"/>
        <v>0</v>
      </c>
      <c r="K8" s="355">
        <f t="shared" si="3"/>
        <v>0</v>
      </c>
      <c r="L8" s="355">
        <f t="shared" si="4"/>
        <v>0</v>
      </c>
      <c r="M8" s="355">
        <f t="shared" si="5"/>
        <v>0</v>
      </c>
      <c r="N8" s="356" t="s">
        <v>1904</v>
      </c>
      <c r="O8" s="357" t="s">
        <v>1915</v>
      </c>
      <c r="P8" s="355">
        <v>4</v>
      </c>
      <c r="Q8" s="355">
        <v>1</v>
      </c>
      <c r="R8" s="358">
        <f t="shared" si="6"/>
        <v>4</v>
      </c>
      <c r="S8" s="355">
        <v>9</v>
      </c>
      <c r="T8" s="355">
        <f t="shared" si="7"/>
        <v>-5</v>
      </c>
      <c r="U8" s="356"/>
      <c r="V8" s="372" t="s">
        <v>1932</v>
      </c>
      <c r="W8" s="374" t="s">
        <v>1916</v>
      </c>
    </row>
    <row r="9" spans="1:23" ht="360" x14ac:dyDescent="0.2">
      <c r="A9" s="352">
        <v>4</v>
      </c>
      <c r="B9" s="353">
        <v>45327</v>
      </c>
      <c r="C9" s="354" t="s">
        <v>1320</v>
      </c>
      <c r="D9" s="166" t="s">
        <v>1896</v>
      </c>
      <c r="E9" s="355">
        <v>2</v>
      </c>
      <c r="F9" s="355">
        <v>3</v>
      </c>
      <c r="G9" s="352">
        <f t="shared" si="0"/>
        <v>6</v>
      </c>
      <c r="H9" s="355">
        <v>6</v>
      </c>
      <c r="I9" s="355">
        <f t="shared" si="1"/>
        <v>0</v>
      </c>
      <c r="J9" s="355">
        <f t="shared" si="2"/>
        <v>0</v>
      </c>
      <c r="K9" s="355">
        <f t="shared" si="3"/>
        <v>0</v>
      </c>
      <c r="L9" s="355">
        <f t="shared" si="4"/>
        <v>0</v>
      </c>
      <c r="M9" s="355">
        <f t="shared" si="5"/>
        <v>0</v>
      </c>
      <c r="N9" s="357" t="s">
        <v>1917</v>
      </c>
      <c r="O9" s="357" t="s">
        <v>1918</v>
      </c>
      <c r="P9" s="355">
        <v>2</v>
      </c>
      <c r="Q9" s="355">
        <v>2</v>
      </c>
      <c r="R9" s="358">
        <f t="shared" si="6"/>
        <v>4</v>
      </c>
      <c r="S9" s="355">
        <v>4</v>
      </c>
      <c r="T9" s="355">
        <f t="shared" si="7"/>
        <v>0</v>
      </c>
      <c r="U9" s="356" t="s">
        <v>1927</v>
      </c>
      <c r="V9" s="372"/>
      <c r="W9" s="372" t="s">
        <v>1916</v>
      </c>
    </row>
    <row r="10" spans="1:23" ht="150" x14ac:dyDescent="0.2">
      <c r="A10" s="352">
        <v>5</v>
      </c>
      <c r="B10" s="353">
        <v>45327</v>
      </c>
      <c r="C10" s="354" t="s">
        <v>1320</v>
      </c>
      <c r="D10" s="166" t="s">
        <v>1897</v>
      </c>
      <c r="E10" s="355">
        <v>3</v>
      </c>
      <c r="F10" s="355">
        <v>3</v>
      </c>
      <c r="G10" s="352">
        <f t="shared" si="0"/>
        <v>9</v>
      </c>
      <c r="H10" s="355">
        <v>8</v>
      </c>
      <c r="I10" s="355">
        <f t="shared" si="1"/>
        <v>1</v>
      </c>
      <c r="J10" s="355">
        <f t="shared" si="2"/>
        <v>0</v>
      </c>
      <c r="K10" s="355">
        <f t="shared" si="3"/>
        <v>0</v>
      </c>
      <c r="L10" s="355">
        <f t="shared" si="4"/>
        <v>0</v>
      </c>
      <c r="M10" s="355">
        <f t="shared" si="5"/>
        <v>0</v>
      </c>
      <c r="N10" s="357" t="s">
        <v>1905</v>
      </c>
      <c r="O10" s="357" t="s">
        <v>1906</v>
      </c>
      <c r="P10" s="355">
        <v>3</v>
      </c>
      <c r="Q10" s="355">
        <v>1</v>
      </c>
      <c r="R10" s="358">
        <f t="shared" si="6"/>
        <v>3</v>
      </c>
      <c r="S10" s="355">
        <v>6</v>
      </c>
      <c r="T10" s="355">
        <f t="shared" si="7"/>
        <v>-3</v>
      </c>
      <c r="U10" s="361"/>
      <c r="V10" s="372" t="s">
        <v>1937</v>
      </c>
      <c r="W10" s="372" t="s">
        <v>1928</v>
      </c>
    </row>
    <row r="11" spans="1:23" ht="120" x14ac:dyDescent="0.2">
      <c r="A11" s="352">
        <v>6</v>
      </c>
      <c r="B11" s="353">
        <v>45327</v>
      </c>
      <c r="C11" s="354" t="s">
        <v>1320</v>
      </c>
      <c r="D11" s="166" t="s">
        <v>1898</v>
      </c>
      <c r="E11" s="355">
        <v>4</v>
      </c>
      <c r="F11" s="355">
        <v>3</v>
      </c>
      <c r="G11" s="352">
        <f t="shared" ref="G11:G15" si="8">SUM(E11*F11)</f>
        <v>12</v>
      </c>
      <c r="H11" s="355">
        <v>8</v>
      </c>
      <c r="I11" s="355">
        <f t="shared" ref="I11:I15" si="9">G11-H11</f>
        <v>4</v>
      </c>
      <c r="J11" s="355">
        <f t="shared" ref="J11:J15" si="10">IF(C11="open",G11,0)</f>
        <v>0</v>
      </c>
      <c r="K11" s="355">
        <f t="shared" ref="K11:K15" si="11">IF(J11&gt;0,1,0)</f>
        <v>0</v>
      </c>
      <c r="L11" s="355">
        <f t="shared" ref="L11:L15" si="12">IF(C11="being mitigated",G11,0)</f>
        <v>0</v>
      </c>
      <c r="M11" s="355">
        <f t="shared" ref="M11:M15" si="13">IF(L11&gt;0,1,0)</f>
        <v>0</v>
      </c>
      <c r="N11" s="357" t="s">
        <v>1907</v>
      </c>
      <c r="O11" s="357" t="s">
        <v>1908</v>
      </c>
      <c r="P11" s="355">
        <v>4</v>
      </c>
      <c r="Q11" s="355">
        <v>1</v>
      </c>
      <c r="R11" s="358">
        <f t="shared" ref="R11:R15" si="14">SUM(P11*Q11)</f>
        <v>4</v>
      </c>
      <c r="S11" s="355">
        <v>6</v>
      </c>
      <c r="T11" s="355">
        <f t="shared" ref="T11:T15" si="15">R11-S11</f>
        <v>-2</v>
      </c>
      <c r="U11" s="361"/>
      <c r="V11" s="372" t="s">
        <v>1933</v>
      </c>
      <c r="W11" s="372" t="s">
        <v>1928</v>
      </c>
    </row>
    <row r="12" spans="1:23" ht="180" x14ac:dyDescent="0.2">
      <c r="A12" s="352">
        <v>7</v>
      </c>
      <c r="B12" s="353">
        <v>45327</v>
      </c>
      <c r="C12" s="354" t="s">
        <v>1320</v>
      </c>
      <c r="D12" s="166" t="s">
        <v>1899</v>
      </c>
      <c r="E12" s="355">
        <v>4</v>
      </c>
      <c r="F12" s="355">
        <v>3</v>
      </c>
      <c r="G12" s="352">
        <f t="shared" si="8"/>
        <v>12</v>
      </c>
      <c r="H12" s="355">
        <v>8</v>
      </c>
      <c r="I12" s="355">
        <f t="shared" si="9"/>
        <v>4</v>
      </c>
      <c r="J12" s="355">
        <f t="shared" si="10"/>
        <v>0</v>
      </c>
      <c r="K12" s="355">
        <f t="shared" si="11"/>
        <v>0</v>
      </c>
      <c r="L12" s="355">
        <f t="shared" si="12"/>
        <v>0</v>
      </c>
      <c r="M12" s="355">
        <f t="shared" si="13"/>
        <v>0</v>
      </c>
      <c r="N12" s="357" t="s">
        <v>1919</v>
      </c>
      <c r="O12" s="357" t="s">
        <v>1920</v>
      </c>
      <c r="P12" s="355">
        <v>4</v>
      </c>
      <c r="Q12" s="355">
        <v>1</v>
      </c>
      <c r="R12" s="358">
        <f t="shared" si="14"/>
        <v>4</v>
      </c>
      <c r="S12" s="355">
        <v>6</v>
      </c>
      <c r="T12" s="355">
        <f t="shared" si="15"/>
        <v>-2</v>
      </c>
      <c r="U12" s="361"/>
      <c r="V12" s="372" t="s">
        <v>1934</v>
      </c>
      <c r="W12" s="372" t="s">
        <v>1916</v>
      </c>
    </row>
    <row r="13" spans="1:23" ht="225" x14ac:dyDescent="0.2">
      <c r="A13" s="352">
        <v>8</v>
      </c>
      <c r="B13" s="353">
        <v>45327</v>
      </c>
      <c r="C13" s="354" t="s">
        <v>1320</v>
      </c>
      <c r="D13" s="166" t="s">
        <v>1900</v>
      </c>
      <c r="E13" s="355">
        <v>4</v>
      </c>
      <c r="F13" s="355">
        <v>3</v>
      </c>
      <c r="G13" s="352">
        <f t="shared" si="8"/>
        <v>12</v>
      </c>
      <c r="H13" s="355">
        <v>8</v>
      </c>
      <c r="I13" s="355">
        <f t="shared" si="9"/>
        <v>4</v>
      </c>
      <c r="J13" s="355">
        <f t="shared" si="10"/>
        <v>0</v>
      </c>
      <c r="K13" s="355">
        <f t="shared" si="11"/>
        <v>0</v>
      </c>
      <c r="L13" s="355">
        <f t="shared" si="12"/>
        <v>0</v>
      </c>
      <c r="M13" s="355">
        <f t="shared" si="13"/>
        <v>0</v>
      </c>
      <c r="N13" s="357" t="s">
        <v>1921</v>
      </c>
      <c r="O13" s="357" t="s">
        <v>1922</v>
      </c>
      <c r="P13" s="355">
        <v>4</v>
      </c>
      <c r="Q13" s="355">
        <v>1</v>
      </c>
      <c r="R13" s="358">
        <f t="shared" si="14"/>
        <v>4</v>
      </c>
      <c r="S13" s="355">
        <v>6</v>
      </c>
      <c r="T13" s="355">
        <f t="shared" si="15"/>
        <v>-2</v>
      </c>
      <c r="U13" s="361"/>
      <c r="V13" s="372" t="s">
        <v>1936</v>
      </c>
      <c r="W13" s="372" t="s">
        <v>1916</v>
      </c>
    </row>
    <row r="14" spans="1:23" ht="240" x14ac:dyDescent="0.2">
      <c r="A14" s="352">
        <v>9</v>
      </c>
      <c r="B14" s="353">
        <v>45327</v>
      </c>
      <c r="C14" s="354" t="s">
        <v>1320</v>
      </c>
      <c r="D14" s="166" t="s">
        <v>1901</v>
      </c>
      <c r="E14" s="355">
        <v>3</v>
      </c>
      <c r="F14" s="355">
        <v>2</v>
      </c>
      <c r="G14" s="352">
        <f t="shared" si="8"/>
        <v>6</v>
      </c>
      <c r="H14" s="355">
        <v>8</v>
      </c>
      <c r="I14" s="355">
        <f t="shared" si="9"/>
        <v>-2</v>
      </c>
      <c r="J14" s="355">
        <f t="shared" si="10"/>
        <v>0</v>
      </c>
      <c r="K14" s="355">
        <f t="shared" si="11"/>
        <v>0</v>
      </c>
      <c r="L14" s="355">
        <f t="shared" si="12"/>
        <v>0</v>
      </c>
      <c r="M14" s="355">
        <f t="shared" si="13"/>
        <v>0</v>
      </c>
      <c r="N14" s="357" t="s">
        <v>1923</v>
      </c>
      <c r="O14" s="357" t="s">
        <v>1924</v>
      </c>
      <c r="P14" s="355">
        <v>3</v>
      </c>
      <c r="Q14" s="355">
        <v>2</v>
      </c>
      <c r="R14" s="358">
        <f t="shared" si="14"/>
        <v>6</v>
      </c>
      <c r="S14" s="355">
        <v>6</v>
      </c>
      <c r="T14" s="355">
        <f t="shared" si="15"/>
        <v>0</v>
      </c>
      <c r="U14" s="361" t="s">
        <v>1938</v>
      </c>
      <c r="V14" s="372" t="s">
        <v>1929</v>
      </c>
      <c r="W14" s="372" t="s">
        <v>1928</v>
      </c>
    </row>
    <row r="15" spans="1:23" ht="300" x14ac:dyDescent="0.2">
      <c r="A15" s="352">
        <v>10</v>
      </c>
      <c r="B15" s="353">
        <v>45327</v>
      </c>
      <c r="C15" s="354" t="s">
        <v>1320</v>
      </c>
      <c r="D15" s="166" t="s">
        <v>1902</v>
      </c>
      <c r="E15" s="355">
        <v>4</v>
      </c>
      <c r="F15" s="355">
        <v>2</v>
      </c>
      <c r="G15" s="352">
        <f t="shared" si="8"/>
        <v>8</v>
      </c>
      <c r="H15" s="355">
        <v>8</v>
      </c>
      <c r="I15" s="355">
        <f t="shared" si="9"/>
        <v>0</v>
      </c>
      <c r="J15" s="355">
        <f t="shared" si="10"/>
        <v>0</v>
      </c>
      <c r="K15" s="355">
        <f t="shared" si="11"/>
        <v>0</v>
      </c>
      <c r="L15" s="355">
        <f t="shared" si="12"/>
        <v>0</v>
      </c>
      <c r="M15" s="355">
        <f t="shared" si="13"/>
        <v>0</v>
      </c>
      <c r="N15" s="357" t="s">
        <v>1925</v>
      </c>
      <c r="O15" s="357" t="s">
        <v>1926</v>
      </c>
      <c r="P15" s="355">
        <v>4</v>
      </c>
      <c r="Q15" s="355">
        <v>1</v>
      </c>
      <c r="R15" s="358">
        <f t="shared" si="14"/>
        <v>4</v>
      </c>
      <c r="S15" s="355">
        <v>6</v>
      </c>
      <c r="T15" s="355">
        <f t="shared" si="15"/>
        <v>-2</v>
      </c>
      <c r="V15" s="361" t="s">
        <v>1935</v>
      </c>
      <c r="W15" s="372" t="s">
        <v>1928</v>
      </c>
    </row>
    <row r="18" spans="1:3" ht="18" x14ac:dyDescent="0.25">
      <c r="A18" s="365" t="s">
        <v>1884</v>
      </c>
      <c r="B18" s="246"/>
      <c r="C18" s="246"/>
    </row>
    <row r="19" spans="1:3" ht="18" x14ac:dyDescent="0.25">
      <c r="A19" s="366"/>
      <c r="B19" s="366"/>
      <c r="C19" s="366"/>
    </row>
    <row r="20" spans="1:3" ht="18" x14ac:dyDescent="0.25">
      <c r="A20" s="367" t="s">
        <v>1725</v>
      </c>
      <c r="B20" s="368" t="s">
        <v>1885</v>
      </c>
      <c r="C20" s="368" t="s">
        <v>1886</v>
      </c>
    </row>
    <row r="21" spans="1:3" ht="18" x14ac:dyDescent="0.25">
      <c r="A21" s="369">
        <v>1</v>
      </c>
      <c r="B21" s="370" t="s">
        <v>1574</v>
      </c>
      <c r="C21" s="370" t="s">
        <v>1887</v>
      </c>
    </row>
    <row r="22" spans="1:3" ht="18" x14ac:dyDescent="0.25">
      <c r="A22" s="369">
        <v>2</v>
      </c>
      <c r="B22" s="370" t="s">
        <v>1574</v>
      </c>
      <c r="C22" s="370" t="s">
        <v>1887</v>
      </c>
    </row>
    <row r="23" spans="1:3" ht="18" x14ac:dyDescent="0.25">
      <c r="A23" s="369">
        <v>3</v>
      </c>
      <c r="B23" s="370" t="s">
        <v>1574</v>
      </c>
      <c r="C23" s="370" t="s">
        <v>1887</v>
      </c>
    </row>
    <row r="24" spans="1:3" ht="18" x14ac:dyDescent="0.25">
      <c r="A24" s="369">
        <v>4</v>
      </c>
      <c r="B24" s="370" t="s">
        <v>1574</v>
      </c>
      <c r="C24" s="370" t="s">
        <v>1887</v>
      </c>
    </row>
    <row r="25" spans="1:3" ht="18" x14ac:dyDescent="0.25">
      <c r="A25" s="369">
        <v>5</v>
      </c>
      <c r="B25" s="370" t="s">
        <v>1888</v>
      </c>
      <c r="C25" s="370" t="s">
        <v>1889</v>
      </c>
    </row>
    <row r="26" spans="1:3" ht="18" x14ac:dyDescent="0.25">
      <c r="A26" s="369">
        <v>6</v>
      </c>
      <c r="B26" s="370" t="s">
        <v>1888</v>
      </c>
      <c r="C26" s="370" t="s">
        <v>1889</v>
      </c>
    </row>
    <row r="27" spans="1:3" ht="18" x14ac:dyDescent="0.25">
      <c r="A27" s="369">
        <v>7</v>
      </c>
      <c r="B27" s="370" t="s">
        <v>1888</v>
      </c>
      <c r="C27" s="370" t="s">
        <v>1889</v>
      </c>
    </row>
    <row r="28" spans="1:3" ht="18" x14ac:dyDescent="0.25">
      <c r="A28" s="369">
        <v>8</v>
      </c>
      <c r="B28" s="370" t="s">
        <v>1888</v>
      </c>
      <c r="C28" s="370" t="s">
        <v>1889</v>
      </c>
    </row>
    <row r="29" spans="1:3" ht="18" x14ac:dyDescent="0.25">
      <c r="A29" s="369">
        <v>9</v>
      </c>
      <c r="B29" s="370" t="s">
        <v>1888</v>
      </c>
      <c r="C29" s="370" t="s">
        <v>1889</v>
      </c>
    </row>
    <row r="30" spans="1:3" ht="18" x14ac:dyDescent="0.25">
      <c r="A30" s="369">
        <v>10</v>
      </c>
      <c r="B30" s="370" t="s">
        <v>1888</v>
      </c>
      <c r="C30" s="370" t="s">
        <v>1889</v>
      </c>
    </row>
    <row r="31" spans="1:3" ht="18" x14ac:dyDescent="0.25">
      <c r="A31" s="369">
        <v>11</v>
      </c>
      <c r="B31" s="370" t="s">
        <v>1888</v>
      </c>
      <c r="C31" s="370" t="s">
        <v>1889</v>
      </c>
    </row>
    <row r="32" spans="1:3" ht="18" x14ac:dyDescent="0.25">
      <c r="A32" s="369">
        <v>12</v>
      </c>
      <c r="B32" s="370" t="s">
        <v>1572</v>
      </c>
      <c r="C32" s="370" t="s">
        <v>1890</v>
      </c>
    </row>
    <row r="33" spans="1:3" ht="18" x14ac:dyDescent="0.25">
      <c r="A33" s="369">
        <v>13</v>
      </c>
      <c r="B33" s="370" t="s">
        <v>1572</v>
      </c>
      <c r="C33" s="370" t="s">
        <v>1890</v>
      </c>
    </row>
    <row r="34" spans="1:3" ht="18" x14ac:dyDescent="0.25">
      <c r="A34" s="369">
        <v>14</v>
      </c>
      <c r="B34" s="370" t="s">
        <v>1572</v>
      </c>
      <c r="C34" s="370" t="s">
        <v>1890</v>
      </c>
    </row>
    <row r="35" spans="1:3" ht="18" x14ac:dyDescent="0.25">
      <c r="A35" s="369">
        <v>15</v>
      </c>
      <c r="B35" s="370" t="s">
        <v>1572</v>
      </c>
      <c r="C35" s="370" t="s">
        <v>1890</v>
      </c>
    </row>
    <row r="36" spans="1:3" ht="18" x14ac:dyDescent="0.25">
      <c r="A36" s="369">
        <v>16</v>
      </c>
      <c r="B36" s="370" t="s">
        <v>1572</v>
      </c>
      <c r="C36" s="370" t="s">
        <v>1890</v>
      </c>
    </row>
  </sheetData>
  <mergeCells count="7">
    <mergeCell ref="A1:D3"/>
    <mergeCell ref="F1:I1"/>
    <mergeCell ref="P1:R1"/>
    <mergeCell ref="F2:I2"/>
    <mergeCell ref="F3:I3"/>
    <mergeCell ref="J3:K3"/>
    <mergeCell ref="P3:R3"/>
  </mergeCells>
  <conditionalFormatting sqref="G6:G15 R6:R15">
    <cfRule type="cellIs" dxfId="69" priority="5" operator="between">
      <formula>12</formula>
      <formula>16</formula>
    </cfRule>
    <cfRule type="cellIs" dxfId="68" priority="6" operator="between">
      <formula>5</formula>
      <formula>11</formula>
    </cfRule>
    <cfRule type="cellIs" dxfId="6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U10:U14 V15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3B03-B477-4281-A3A5-214BE8F8EB6B}">
  <dimension ref="A1:O606"/>
  <sheetViews>
    <sheetView zoomScale="80" zoomScaleNormal="80" workbookViewId="0">
      <pane ySplit="2" topLeftCell="A40" activePane="bottomLeft" state="frozen"/>
      <selection pane="bottomLeft" activeCell="J6" sqref="J6"/>
    </sheetView>
  </sheetViews>
  <sheetFormatPr defaultColWidth="25.625" defaultRowHeight="15" x14ac:dyDescent="0.2"/>
  <cols>
    <col min="1" max="1" width="9.75" style="206" customWidth="1"/>
    <col min="2" max="2" width="10" style="206" customWidth="1"/>
    <col min="3" max="3" width="20.75" style="206" customWidth="1"/>
    <col min="4" max="4" width="12.125" style="207" customWidth="1"/>
    <col min="5" max="5" width="21.25" style="206" customWidth="1"/>
    <col min="6" max="6" width="10.75" style="206" customWidth="1"/>
    <col min="7" max="7" width="13.25" style="206" customWidth="1"/>
    <col min="8" max="8" width="33.25" style="206" customWidth="1"/>
    <col min="9" max="9" width="9.75" style="206" customWidth="1"/>
    <col min="10" max="10" width="34.625" style="206" customWidth="1"/>
    <col min="11" max="11" width="25.625" style="206"/>
    <col min="12" max="12" width="13.25" style="206" customWidth="1"/>
    <col min="13" max="14" width="8.5" style="206" customWidth="1"/>
    <col min="15" max="16384" width="25.625" style="206"/>
  </cols>
  <sheetData>
    <row r="1" spans="1:15" ht="52.9" customHeight="1" x14ac:dyDescent="0.2">
      <c r="A1" s="422" t="s">
        <v>1280</v>
      </c>
      <c r="B1" s="422"/>
      <c r="C1" s="422"/>
      <c r="D1" s="422"/>
      <c r="E1" s="422"/>
      <c r="F1" s="422"/>
      <c r="G1" s="422"/>
      <c r="H1" s="422"/>
      <c r="I1" s="422"/>
      <c r="J1" s="422"/>
      <c r="K1" s="422"/>
      <c r="L1" s="422"/>
      <c r="M1" s="422"/>
      <c r="N1" s="422"/>
      <c r="O1" s="234"/>
    </row>
    <row r="2" spans="1:15" s="205" customFormat="1" ht="64.900000000000006" customHeight="1" x14ac:dyDescent="0.2">
      <c r="A2" s="203" t="s">
        <v>725</v>
      </c>
      <c r="B2" s="203" t="s">
        <v>1277</v>
      </c>
      <c r="C2" s="203" t="s">
        <v>1279</v>
      </c>
      <c r="D2" s="204" t="s">
        <v>1276</v>
      </c>
      <c r="E2" s="203" t="s">
        <v>1278</v>
      </c>
      <c r="F2" s="203" t="s">
        <v>1275</v>
      </c>
      <c r="G2" s="203" t="s">
        <v>1274</v>
      </c>
      <c r="H2" s="203" t="s">
        <v>726</v>
      </c>
      <c r="I2" s="203" t="s">
        <v>727</v>
      </c>
      <c r="J2" s="203" t="s">
        <v>728</v>
      </c>
      <c r="K2" s="203" t="s">
        <v>729</v>
      </c>
      <c r="L2" s="203" t="s">
        <v>730</v>
      </c>
      <c r="M2" s="203" t="s">
        <v>731</v>
      </c>
      <c r="N2" s="203" t="s">
        <v>732</v>
      </c>
      <c r="O2" s="203" t="s">
        <v>1546</v>
      </c>
    </row>
    <row r="3" spans="1:15" ht="45" x14ac:dyDescent="0.2">
      <c r="A3" s="227" t="s">
        <v>733</v>
      </c>
      <c r="B3" s="221">
        <v>1</v>
      </c>
      <c r="C3" s="221" t="s">
        <v>734</v>
      </c>
      <c r="D3" s="221">
        <v>1.1000000000000001</v>
      </c>
      <c r="E3" s="221" t="s">
        <v>735</v>
      </c>
      <c r="F3" s="221" t="s">
        <v>722</v>
      </c>
      <c r="G3" s="221">
        <v>1</v>
      </c>
      <c r="H3" s="221" t="s">
        <v>736</v>
      </c>
      <c r="I3" s="206" t="s">
        <v>1289</v>
      </c>
      <c r="J3" s="206" t="s">
        <v>1778</v>
      </c>
      <c r="O3" s="235">
        <v>44671</v>
      </c>
    </row>
    <row r="4" spans="1:15" ht="75" x14ac:dyDescent="0.2">
      <c r="A4" s="227" t="s">
        <v>733</v>
      </c>
      <c r="B4" s="219">
        <v>1</v>
      </c>
      <c r="C4" s="219" t="s">
        <v>734</v>
      </c>
      <c r="D4" s="219">
        <v>1.1000000000000001</v>
      </c>
      <c r="E4" s="219" t="s">
        <v>735</v>
      </c>
      <c r="F4" s="219" t="s">
        <v>720</v>
      </c>
      <c r="G4" s="219">
        <v>1</v>
      </c>
      <c r="H4" s="219" t="s">
        <v>738</v>
      </c>
      <c r="I4" s="206" t="s">
        <v>1289</v>
      </c>
      <c r="J4" s="206" t="s">
        <v>1779</v>
      </c>
      <c r="O4" s="235">
        <v>44671</v>
      </c>
    </row>
    <row r="5" spans="1:15" ht="45" x14ac:dyDescent="0.2">
      <c r="A5" s="227" t="s">
        <v>733</v>
      </c>
      <c r="B5" s="219">
        <v>1</v>
      </c>
      <c r="C5" s="219" t="s">
        <v>734</v>
      </c>
      <c r="D5" s="219">
        <v>1.1000000000000001</v>
      </c>
      <c r="E5" s="219" t="s">
        <v>735</v>
      </c>
      <c r="F5" s="219" t="s">
        <v>720</v>
      </c>
      <c r="G5" s="219">
        <v>2</v>
      </c>
      <c r="H5" s="219" t="s">
        <v>739</v>
      </c>
      <c r="I5" s="206" t="s">
        <v>737</v>
      </c>
      <c r="J5" s="206" t="s">
        <v>1780</v>
      </c>
      <c r="K5" s="206" t="s">
        <v>1781</v>
      </c>
      <c r="O5" s="235">
        <v>44671</v>
      </c>
    </row>
    <row r="6" spans="1:15" ht="60" x14ac:dyDescent="0.2">
      <c r="A6" s="227" t="s">
        <v>733</v>
      </c>
      <c r="B6" s="219">
        <v>1</v>
      </c>
      <c r="C6" s="219" t="s">
        <v>734</v>
      </c>
      <c r="D6" s="219">
        <v>1.1000000000000001</v>
      </c>
      <c r="E6" s="219" t="s">
        <v>735</v>
      </c>
      <c r="F6" s="219" t="s">
        <v>720</v>
      </c>
      <c r="G6" s="219">
        <v>3</v>
      </c>
      <c r="H6" s="219" t="s">
        <v>740</v>
      </c>
      <c r="I6" s="206" t="s">
        <v>1289</v>
      </c>
      <c r="J6" s="206" t="s">
        <v>1782</v>
      </c>
      <c r="O6" s="235">
        <v>44671</v>
      </c>
    </row>
    <row r="7" spans="1:15" ht="66" customHeight="1" x14ac:dyDescent="0.2">
      <c r="A7" s="227" t="s">
        <v>733</v>
      </c>
      <c r="B7" s="219">
        <v>1</v>
      </c>
      <c r="C7" s="219" t="s">
        <v>734</v>
      </c>
      <c r="D7" s="219">
        <v>1.1000000000000001</v>
      </c>
      <c r="E7" s="219" t="s">
        <v>735</v>
      </c>
      <c r="F7" s="219" t="s">
        <v>720</v>
      </c>
      <c r="G7" s="219">
        <v>4</v>
      </c>
      <c r="H7" s="219" t="s">
        <v>741</v>
      </c>
      <c r="I7" s="206" t="s">
        <v>1289</v>
      </c>
      <c r="J7" s="206" t="s">
        <v>1286</v>
      </c>
      <c r="O7" s="235">
        <v>44671</v>
      </c>
    </row>
    <row r="8" spans="1:15" ht="48" customHeight="1" x14ac:dyDescent="0.2">
      <c r="A8" s="227" t="s">
        <v>733</v>
      </c>
      <c r="B8" s="219">
        <v>1</v>
      </c>
      <c r="C8" s="219" t="s">
        <v>734</v>
      </c>
      <c r="D8" s="219">
        <v>1.1000000000000001</v>
      </c>
      <c r="E8" s="219" t="s">
        <v>735</v>
      </c>
      <c r="F8" s="219" t="s">
        <v>720</v>
      </c>
      <c r="G8" s="219">
        <v>5</v>
      </c>
      <c r="H8" s="219" t="s">
        <v>742</v>
      </c>
      <c r="I8" s="206" t="s">
        <v>1289</v>
      </c>
      <c r="J8" s="206" t="s">
        <v>1287</v>
      </c>
      <c r="O8" s="235">
        <v>44671</v>
      </c>
    </row>
    <row r="9" spans="1:15" ht="45" x14ac:dyDescent="0.2">
      <c r="A9" s="227" t="s">
        <v>733</v>
      </c>
      <c r="B9" s="220">
        <v>1</v>
      </c>
      <c r="C9" s="220" t="s">
        <v>734</v>
      </c>
      <c r="D9" s="220">
        <v>1.1000000000000001</v>
      </c>
      <c r="E9" s="220" t="s">
        <v>735</v>
      </c>
      <c r="F9" s="220" t="s">
        <v>718</v>
      </c>
      <c r="G9" s="220">
        <v>1</v>
      </c>
      <c r="H9" s="220" t="s">
        <v>743</v>
      </c>
      <c r="I9" s="206" t="s">
        <v>737</v>
      </c>
      <c r="J9" s="206" t="s">
        <v>1285</v>
      </c>
      <c r="K9" s="206" t="s">
        <v>1783</v>
      </c>
      <c r="O9" s="235">
        <v>44671</v>
      </c>
    </row>
    <row r="10" spans="1:15" ht="60.75" thickBot="1" x14ac:dyDescent="0.25">
      <c r="A10" s="227" t="s">
        <v>733</v>
      </c>
      <c r="B10" s="220">
        <v>1</v>
      </c>
      <c r="C10" s="220" t="s">
        <v>734</v>
      </c>
      <c r="D10" s="220">
        <v>1.1000000000000001</v>
      </c>
      <c r="E10" s="220" t="s">
        <v>735</v>
      </c>
      <c r="F10" s="220" t="s">
        <v>718</v>
      </c>
      <c r="G10" s="220">
        <v>2</v>
      </c>
      <c r="H10" s="220" t="s">
        <v>744</v>
      </c>
      <c r="I10" s="206" t="s">
        <v>1289</v>
      </c>
      <c r="J10" s="206" t="s">
        <v>1784</v>
      </c>
      <c r="O10" s="235">
        <v>44671</v>
      </c>
    </row>
    <row r="11" spans="1:15" ht="30.75" thickBot="1" x14ac:dyDescent="0.25">
      <c r="A11" s="222" t="s">
        <v>733</v>
      </c>
      <c r="B11" s="223">
        <v>1</v>
      </c>
      <c r="C11" s="223" t="s">
        <v>734</v>
      </c>
      <c r="D11" s="223">
        <v>1.1000000000000001</v>
      </c>
      <c r="E11" s="223" t="s">
        <v>735</v>
      </c>
      <c r="F11" s="223" t="s">
        <v>1282</v>
      </c>
      <c r="G11" s="223">
        <v>2</v>
      </c>
      <c r="H11" s="223" t="s">
        <v>721</v>
      </c>
      <c r="I11" s="224"/>
      <c r="O11" s="235">
        <v>44671</v>
      </c>
    </row>
    <row r="12" spans="1:15" ht="68.45" customHeight="1" x14ac:dyDescent="0.2">
      <c r="A12" s="227" t="s">
        <v>733</v>
      </c>
      <c r="B12" s="221">
        <v>1</v>
      </c>
      <c r="C12" s="221" t="s">
        <v>734</v>
      </c>
      <c r="D12" s="221">
        <v>1.2</v>
      </c>
      <c r="E12" s="221" t="s">
        <v>745</v>
      </c>
      <c r="F12" s="221" t="s">
        <v>722</v>
      </c>
      <c r="G12" s="221">
        <v>1</v>
      </c>
      <c r="H12" s="221" t="s">
        <v>746</v>
      </c>
      <c r="I12" s="206" t="s">
        <v>1289</v>
      </c>
      <c r="J12" s="206" t="s">
        <v>1778</v>
      </c>
      <c r="O12" s="235">
        <v>44671</v>
      </c>
    </row>
    <row r="13" spans="1:15" ht="84.6" customHeight="1" x14ac:dyDescent="0.2">
      <c r="A13" s="227" t="s">
        <v>733</v>
      </c>
      <c r="B13" s="221">
        <v>1</v>
      </c>
      <c r="C13" s="221" t="s">
        <v>734</v>
      </c>
      <c r="D13" s="221">
        <v>1.2</v>
      </c>
      <c r="E13" s="221" t="s">
        <v>745</v>
      </c>
      <c r="F13" s="221" t="s">
        <v>722</v>
      </c>
      <c r="G13" s="221">
        <v>2</v>
      </c>
      <c r="H13" s="221" t="s">
        <v>747</v>
      </c>
      <c r="I13" s="206" t="s">
        <v>1289</v>
      </c>
      <c r="J13" s="206" t="s">
        <v>1782</v>
      </c>
      <c r="O13" s="235">
        <v>44671</v>
      </c>
    </row>
    <row r="14" spans="1:15" ht="45" x14ac:dyDescent="0.2">
      <c r="A14" s="227" t="s">
        <v>733</v>
      </c>
      <c r="B14" s="221">
        <v>1</v>
      </c>
      <c r="C14" s="221" t="s">
        <v>734</v>
      </c>
      <c r="D14" s="221">
        <v>1.2</v>
      </c>
      <c r="E14" s="221" t="s">
        <v>745</v>
      </c>
      <c r="F14" s="221" t="s">
        <v>722</v>
      </c>
      <c r="G14" s="221">
        <v>3</v>
      </c>
      <c r="H14" s="221" t="s">
        <v>748</v>
      </c>
      <c r="I14" s="206" t="s">
        <v>1289</v>
      </c>
      <c r="J14" s="206" t="s">
        <v>1779</v>
      </c>
      <c r="O14" s="235">
        <v>44671</v>
      </c>
    </row>
    <row r="15" spans="1:15" ht="45" x14ac:dyDescent="0.2">
      <c r="A15" s="227" t="s">
        <v>733</v>
      </c>
      <c r="B15" s="221">
        <v>1</v>
      </c>
      <c r="C15" s="221" t="s">
        <v>734</v>
      </c>
      <c r="D15" s="221">
        <v>1.2</v>
      </c>
      <c r="E15" s="221" t="s">
        <v>745</v>
      </c>
      <c r="F15" s="221" t="s">
        <v>722</v>
      </c>
      <c r="G15" s="221">
        <v>4</v>
      </c>
      <c r="H15" s="221" t="s">
        <v>749</v>
      </c>
      <c r="I15" s="206" t="s">
        <v>1289</v>
      </c>
      <c r="J15" s="206" t="s">
        <v>1287</v>
      </c>
      <c r="O15" s="235">
        <v>44671</v>
      </c>
    </row>
    <row r="16" spans="1:15" ht="63.6" customHeight="1" x14ac:dyDescent="0.2">
      <c r="A16" s="227" t="s">
        <v>733</v>
      </c>
      <c r="B16" s="219">
        <v>1</v>
      </c>
      <c r="C16" s="219" t="s">
        <v>734</v>
      </c>
      <c r="D16" s="219">
        <v>1.2</v>
      </c>
      <c r="E16" s="219" t="s">
        <v>745</v>
      </c>
      <c r="F16" s="219" t="s">
        <v>720</v>
      </c>
      <c r="G16" s="219">
        <v>1</v>
      </c>
      <c r="H16" s="219" t="s">
        <v>741</v>
      </c>
      <c r="I16" s="206" t="s">
        <v>1289</v>
      </c>
      <c r="J16" s="206" t="s">
        <v>1286</v>
      </c>
      <c r="O16" s="235">
        <v>44671</v>
      </c>
    </row>
    <row r="17" spans="1:15" ht="60.6" customHeight="1" x14ac:dyDescent="0.2">
      <c r="A17" s="227" t="s">
        <v>733</v>
      </c>
      <c r="B17" s="219">
        <v>1</v>
      </c>
      <c r="C17" s="219" t="s">
        <v>734</v>
      </c>
      <c r="D17" s="219">
        <v>1.2</v>
      </c>
      <c r="E17" s="219" t="s">
        <v>745</v>
      </c>
      <c r="F17" s="219" t="s">
        <v>720</v>
      </c>
      <c r="G17" s="219">
        <v>2</v>
      </c>
      <c r="H17" s="219" t="s">
        <v>742</v>
      </c>
      <c r="I17" s="206" t="s">
        <v>1289</v>
      </c>
      <c r="J17" s="206" t="s">
        <v>1287</v>
      </c>
      <c r="O17" s="235">
        <v>44671</v>
      </c>
    </row>
    <row r="18" spans="1:15" ht="75" x14ac:dyDescent="0.2">
      <c r="A18" s="227" t="s">
        <v>733</v>
      </c>
      <c r="B18" s="220">
        <v>1</v>
      </c>
      <c r="C18" s="220" t="s">
        <v>734</v>
      </c>
      <c r="D18" s="220">
        <v>1.2</v>
      </c>
      <c r="E18" s="220" t="s">
        <v>745</v>
      </c>
      <c r="F18" s="220" t="s">
        <v>718</v>
      </c>
      <c r="G18" s="220">
        <v>1</v>
      </c>
      <c r="H18" s="220" t="s">
        <v>750</v>
      </c>
      <c r="I18" s="206" t="s">
        <v>1289</v>
      </c>
      <c r="J18" s="206" t="s">
        <v>1290</v>
      </c>
      <c r="O18" s="235">
        <v>44671</v>
      </c>
    </row>
    <row r="19" spans="1:15" ht="105" x14ac:dyDescent="0.2">
      <c r="A19" s="227" t="s">
        <v>733</v>
      </c>
      <c r="B19" s="220">
        <v>1</v>
      </c>
      <c r="C19" s="220" t="s">
        <v>734</v>
      </c>
      <c r="D19" s="220">
        <v>1.2</v>
      </c>
      <c r="E19" s="220" t="s">
        <v>745</v>
      </c>
      <c r="F19" s="220" t="s">
        <v>718</v>
      </c>
      <c r="G19" s="220">
        <v>2</v>
      </c>
      <c r="H19" s="220" t="s">
        <v>751</v>
      </c>
      <c r="I19" s="206" t="s">
        <v>1289</v>
      </c>
      <c r="J19" s="206" t="s">
        <v>1290</v>
      </c>
      <c r="O19" s="235">
        <v>44671</v>
      </c>
    </row>
    <row r="20" spans="1:15" ht="60" x14ac:dyDescent="0.2">
      <c r="A20" s="227" t="s">
        <v>733</v>
      </c>
      <c r="B20" s="220">
        <v>1</v>
      </c>
      <c r="C20" s="220" t="s">
        <v>734</v>
      </c>
      <c r="D20" s="220">
        <v>1.2</v>
      </c>
      <c r="E20" s="220" t="s">
        <v>745</v>
      </c>
      <c r="F20" s="220" t="s">
        <v>718</v>
      </c>
      <c r="G20" s="220">
        <v>3</v>
      </c>
      <c r="H20" s="220" t="s">
        <v>752</v>
      </c>
      <c r="I20" s="206" t="s">
        <v>1289</v>
      </c>
      <c r="J20" s="206" t="s">
        <v>1785</v>
      </c>
      <c r="O20" s="235">
        <v>44671</v>
      </c>
    </row>
    <row r="21" spans="1:15" ht="45" x14ac:dyDescent="0.2">
      <c r="A21" s="227" t="s">
        <v>733</v>
      </c>
      <c r="B21" s="220">
        <v>1</v>
      </c>
      <c r="C21" s="220" t="s">
        <v>734</v>
      </c>
      <c r="D21" s="220">
        <v>1.2</v>
      </c>
      <c r="E21" s="220" t="s">
        <v>745</v>
      </c>
      <c r="F21" s="220" t="s">
        <v>718</v>
      </c>
      <c r="G21" s="220">
        <v>4</v>
      </c>
      <c r="H21" s="220" t="s">
        <v>753</v>
      </c>
      <c r="I21" s="206" t="s">
        <v>1289</v>
      </c>
      <c r="J21" s="206" t="s">
        <v>1291</v>
      </c>
      <c r="O21" s="235">
        <v>44671</v>
      </c>
    </row>
    <row r="22" spans="1:15" ht="60.75" thickBot="1" x14ac:dyDescent="0.25">
      <c r="A22" s="227" t="s">
        <v>733</v>
      </c>
      <c r="B22" s="220">
        <v>1</v>
      </c>
      <c r="C22" s="220" t="s">
        <v>734</v>
      </c>
      <c r="D22" s="220">
        <v>1.2</v>
      </c>
      <c r="E22" s="220" t="s">
        <v>745</v>
      </c>
      <c r="F22" s="220" t="s">
        <v>718</v>
      </c>
      <c r="G22" s="220">
        <v>5</v>
      </c>
      <c r="H22" s="220" t="s">
        <v>754</v>
      </c>
      <c r="I22" s="206" t="s">
        <v>1289</v>
      </c>
      <c r="J22" s="206" t="s">
        <v>1785</v>
      </c>
      <c r="O22" s="235">
        <v>44671</v>
      </c>
    </row>
    <row r="23" spans="1:15" ht="30.75" thickBot="1" x14ac:dyDescent="0.25">
      <c r="A23" s="222" t="s">
        <v>733</v>
      </c>
      <c r="B23" s="223">
        <v>1</v>
      </c>
      <c r="C23" s="223" t="s">
        <v>734</v>
      </c>
      <c r="D23" s="223">
        <v>1.2</v>
      </c>
      <c r="E23" s="223" t="s">
        <v>745</v>
      </c>
      <c r="F23" s="223" t="s">
        <v>1282</v>
      </c>
      <c r="G23" s="223">
        <v>5</v>
      </c>
      <c r="H23" s="223" t="s">
        <v>718</v>
      </c>
      <c r="I23" s="225"/>
      <c r="O23" s="235">
        <v>44671</v>
      </c>
    </row>
    <row r="24" spans="1:15" ht="135" x14ac:dyDescent="0.2">
      <c r="A24" s="227" t="s">
        <v>733</v>
      </c>
      <c r="B24" s="221">
        <v>1</v>
      </c>
      <c r="C24" s="221" t="s">
        <v>734</v>
      </c>
      <c r="D24" s="221">
        <v>1.3</v>
      </c>
      <c r="E24" s="221" t="s">
        <v>755</v>
      </c>
      <c r="F24" s="221" t="s">
        <v>722</v>
      </c>
      <c r="G24" s="221">
        <v>1</v>
      </c>
      <c r="H24" s="221" t="s">
        <v>756</v>
      </c>
      <c r="I24" s="206" t="s">
        <v>1289</v>
      </c>
      <c r="J24" s="206" t="s">
        <v>1292</v>
      </c>
      <c r="O24" s="235">
        <v>44671</v>
      </c>
    </row>
    <row r="25" spans="1:15" ht="141" customHeight="1" x14ac:dyDescent="0.2">
      <c r="A25" s="227" t="s">
        <v>733</v>
      </c>
      <c r="B25" s="219">
        <v>1</v>
      </c>
      <c r="C25" s="219" t="s">
        <v>734</v>
      </c>
      <c r="D25" s="219">
        <v>1.3</v>
      </c>
      <c r="E25" s="219" t="s">
        <v>755</v>
      </c>
      <c r="F25" s="219" t="s">
        <v>720</v>
      </c>
      <c r="G25" s="219">
        <v>1</v>
      </c>
      <c r="H25" s="219" t="s">
        <v>757</v>
      </c>
      <c r="I25" s="206" t="s">
        <v>1289</v>
      </c>
      <c r="J25" s="206" t="s">
        <v>1784</v>
      </c>
      <c r="O25" s="235">
        <v>44671</v>
      </c>
    </row>
    <row r="26" spans="1:15" ht="60" x14ac:dyDescent="0.2">
      <c r="A26" s="227" t="s">
        <v>733</v>
      </c>
      <c r="B26" s="220">
        <v>1</v>
      </c>
      <c r="C26" s="220" t="s">
        <v>734</v>
      </c>
      <c r="D26" s="220">
        <v>1.3</v>
      </c>
      <c r="E26" s="220" t="s">
        <v>755</v>
      </c>
      <c r="F26" s="220" t="s">
        <v>718</v>
      </c>
      <c r="G26" s="220">
        <v>1</v>
      </c>
      <c r="H26" s="220" t="s">
        <v>758</v>
      </c>
      <c r="I26" s="206" t="s">
        <v>1289</v>
      </c>
      <c r="J26" s="206" t="s">
        <v>1293</v>
      </c>
      <c r="O26" s="235">
        <v>44671</v>
      </c>
    </row>
    <row r="27" spans="1:15" ht="75" x14ac:dyDescent="0.2">
      <c r="A27" s="227" t="s">
        <v>733</v>
      </c>
      <c r="B27" s="220">
        <v>1</v>
      </c>
      <c r="C27" s="220" t="s">
        <v>734</v>
      </c>
      <c r="D27" s="220">
        <v>1.3</v>
      </c>
      <c r="E27" s="220" t="s">
        <v>755</v>
      </c>
      <c r="F27" s="220" t="s">
        <v>718</v>
      </c>
      <c r="G27" s="220">
        <v>2</v>
      </c>
      <c r="H27" s="220" t="s">
        <v>759</v>
      </c>
      <c r="I27" s="206" t="s">
        <v>1289</v>
      </c>
      <c r="J27" s="206" t="s">
        <v>1294</v>
      </c>
      <c r="O27" s="235">
        <v>44671</v>
      </c>
    </row>
    <row r="28" spans="1:15" ht="75.75" thickBot="1" x14ac:dyDescent="0.25">
      <c r="A28" s="227" t="s">
        <v>733</v>
      </c>
      <c r="B28" s="220">
        <v>1</v>
      </c>
      <c r="C28" s="220" t="s">
        <v>734</v>
      </c>
      <c r="D28" s="220">
        <v>1.3</v>
      </c>
      <c r="E28" s="220" t="s">
        <v>755</v>
      </c>
      <c r="F28" s="220" t="s">
        <v>718</v>
      </c>
      <c r="G28" s="220">
        <v>3</v>
      </c>
      <c r="H28" s="220" t="s">
        <v>760</v>
      </c>
      <c r="I28" s="206" t="s">
        <v>1289</v>
      </c>
      <c r="J28" s="206" t="s">
        <v>1295</v>
      </c>
      <c r="O28" s="235">
        <v>44671</v>
      </c>
    </row>
    <row r="29" spans="1:15" ht="30.75" thickBot="1" x14ac:dyDescent="0.25">
      <c r="A29" s="222" t="s">
        <v>733</v>
      </c>
      <c r="B29" s="223">
        <v>1</v>
      </c>
      <c r="C29" s="223" t="s">
        <v>734</v>
      </c>
      <c r="D29" s="223">
        <v>1.3</v>
      </c>
      <c r="E29" s="223" t="s">
        <v>755</v>
      </c>
      <c r="F29" s="223" t="s">
        <v>1282</v>
      </c>
      <c r="G29" s="223">
        <v>5</v>
      </c>
      <c r="H29" s="223" t="s">
        <v>718</v>
      </c>
      <c r="I29" s="225"/>
      <c r="O29" s="235">
        <v>44671</v>
      </c>
    </row>
    <row r="30" spans="1:15" ht="30" x14ac:dyDescent="0.2">
      <c r="A30" s="227" t="s">
        <v>733</v>
      </c>
      <c r="B30" s="221">
        <v>1</v>
      </c>
      <c r="C30" s="221" t="s">
        <v>734</v>
      </c>
      <c r="D30" s="221">
        <v>1.4</v>
      </c>
      <c r="E30" s="221" t="s">
        <v>761</v>
      </c>
      <c r="F30" s="221" t="s">
        <v>722</v>
      </c>
      <c r="G30" s="221">
        <v>1</v>
      </c>
      <c r="H30" s="221" t="s">
        <v>762</v>
      </c>
      <c r="I30" s="206" t="s">
        <v>737</v>
      </c>
      <c r="J30" s="206" t="s">
        <v>1296</v>
      </c>
      <c r="O30" s="235">
        <v>44671</v>
      </c>
    </row>
    <row r="31" spans="1:15" ht="45" x14ac:dyDescent="0.2">
      <c r="A31" s="227" t="s">
        <v>733</v>
      </c>
      <c r="B31" s="221">
        <v>1</v>
      </c>
      <c r="C31" s="221" t="s">
        <v>734</v>
      </c>
      <c r="D31" s="221">
        <v>1.4</v>
      </c>
      <c r="E31" s="221" t="s">
        <v>761</v>
      </c>
      <c r="F31" s="221" t="s">
        <v>722</v>
      </c>
      <c r="G31" s="221">
        <v>2</v>
      </c>
      <c r="H31" s="221" t="s">
        <v>763</v>
      </c>
      <c r="I31" s="206" t="s">
        <v>737</v>
      </c>
      <c r="J31" s="206" t="s">
        <v>1297</v>
      </c>
      <c r="O31" s="235">
        <v>44671</v>
      </c>
    </row>
    <row r="32" spans="1:15" ht="150" x14ac:dyDescent="0.2">
      <c r="A32" s="227" t="s">
        <v>733</v>
      </c>
      <c r="B32" s="219">
        <v>1</v>
      </c>
      <c r="C32" s="219" t="s">
        <v>734</v>
      </c>
      <c r="D32" s="219">
        <v>1.4</v>
      </c>
      <c r="E32" s="219" t="s">
        <v>761</v>
      </c>
      <c r="F32" s="219" t="s">
        <v>720</v>
      </c>
      <c r="G32" s="219">
        <v>1</v>
      </c>
      <c r="H32" s="219" t="s">
        <v>764</v>
      </c>
      <c r="I32" s="206" t="s">
        <v>737</v>
      </c>
      <c r="J32" s="206" t="s">
        <v>1296</v>
      </c>
      <c r="O32" s="235">
        <v>44671</v>
      </c>
    </row>
    <row r="33" spans="1:15" ht="45" x14ac:dyDescent="0.2">
      <c r="A33" s="227" t="s">
        <v>733</v>
      </c>
      <c r="B33" s="220">
        <v>1</v>
      </c>
      <c r="C33" s="220" t="s">
        <v>734</v>
      </c>
      <c r="D33" s="220">
        <v>1.4</v>
      </c>
      <c r="E33" s="220" t="s">
        <v>761</v>
      </c>
      <c r="F33" s="220" t="s">
        <v>718</v>
      </c>
      <c r="G33" s="220">
        <v>1</v>
      </c>
      <c r="H33" s="220" t="s">
        <v>765</v>
      </c>
      <c r="I33" s="206" t="s">
        <v>737</v>
      </c>
      <c r="J33" s="206" t="s">
        <v>1296</v>
      </c>
      <c r="O33" s="235">
        <v>44671</v>
      </c>
    </row>
    <row r="34" spans="1:15" ht="45" x14ac:dyDescent="0.2">
      <c r="A34" s="227" t="s">
        <v>733</v>
      </c>
      <c r="B34" s="220">
        <v>1</v>
      </c>
      <c r="C34" s="220" t="s">
        <v>734</v>
      </c>
      <c r="D34" s="220">
        <v>1.4</v>
      </c>
      <c r="E34" s="220" t="s">
        <v>761</v>
      </c>
      <c r="F34" s="220" t="s">
        <v>718</v>
      </c>
      <c r="G34" s="220">
        <v>2</v>
      </c>
      <c r="H34" s="220" t="s">
        <v>766</v>
      </c>
      <c r="I34" s="206" t="s">
        <v>737</v>
      </c>
      <c r="J34" s="206" t="s">
        <v>1296</v>
      </c>
      <c r="O34" s="235">
        <v>44671</v>
      </c>
    </row>
    <row r="35" spans="1:15" ht="30.75" thickBot="1" x14ac:dyDescent="0.25">
      <c r="A35" s="227" t="s">
        <v>733</v>
      </c>
      <c r="B35" s="220">
        <v>1</v>
      </c>
      <c r="C35" s="220" t="s">
        <v>734</v>
      </c>
      <c r="D35" s="220">
        <v>1.4</v>
      </c>
      <c r="E35" s="220" t="s">
        <v>761</v>
      </c>
      <c r="F35" s="220" t="s">
        <v>718</v>
      </c>
      <c r="G35" s="220">
        <v>3</v>
      </c>
      <c r="H35" s="220" t="s">
        <v>767</v>
      </c>
      <c r="I35" s="206" t="s">
        <v>737</v>
      </c>
      <c r="J35" s="206" t="s">
        <v>1296</v>
      </c>
      <c r="O35" s="235">
        <v>44671</v>
      </c>
    </row>
    <row r="36" spans="1:15" ht="30.75" thickBot="1" x14ac:dyDescent="0.25">
      <c r="A36" s="222" t="s">
        <v>733</v>
      </c>
      <c r="B36" s="223">
        <v>1</v>
      </c>
      <c r="C36" s="223" t="s">
        <v>734</v>
      </c>
      <c r="D36" s="223">
        <v>1.4</v>
      </c>
      <c r="E36" s="223" t="s">
        <v>761</v>
      </c>
      <c r="F36" s="223" t="s">
        <v>1282</v>
      </c>
      <c r="G36" s="223">
        <v>0</v>
      </c>
      <c r="H36" s="223" t="s">
        <v>724</v>
      </c>
      <c r="I36" s="225"/>
      <c r="O36" s="235">
        <v>44671</v>
      </c>
    </row>
    <row r="37" spans="1:15" ht="135" x14ac:dyDescent="0.2">
      <c r="A37" s="227" t="s">
        <v>733</v>
      </c>
      <c r="B37" s="221">
        <v>1</v>
      </c>
      <c r="C37" s="221" t="s">
        <v>734</v>
      </c>
      <c r="D37" s="221">
        <v>1.5</v>
      </c>
      <c r="E37" s="221" t="s">
        <v>768</v>
      </c>
      <c r="F37" s="221" t="s">
        <v>722</v>
      </c>
      <c r="G37" s="221">
        <v>1</v>
      </c>
      <c r="H37" s="221" t="s">
        <v>769</v>
      </c>
      <c r="I37" s="206" t="s">
        <v>1289</v>
      </c>
      <c r="J37" s="206" t="s">
        <v>1292</v>
      </c>
      <c r="O37" s="235">
        <v>44671</v>
      </c>
    </row>
    <row r="38" spans="1:15" ht="120" x14ac:dyDescent="0.2">
      <c r="A38" s="227" t="s">
        <v>733</v>
      </c>
      <c r="B38" s="219">
        <v>1</v>
      </c>
      <c r="C38" s="219" t="s">
        <v>734</v>
      </c>
      <c r="D38" s="219">
        <v>1.5</v>
      </c>
      <c r="E38" s="219" t="s">
        <v>768</v>
      </c>
      <c r="F38" s="219" t="s">
        <v>720</v>
      </c>
      <c r="G38" s="219">
        <v>1</v>
      </c>
      <c r="H38" s="219" t="s">
        <v>757</v>
      </c>
      <c r="I38" s="206" t="s">
        <v>1289</v>
      </c>
      <c r="J38" s="206" t="s">
        <v>1784</v>
      </c>
      <c r="O38" s="235">
        <v>44671</v>
      </c>
    </row>
    <row r="39" spans="1:15" ht="45" x14ac:dyDescent="0.2">
      <c r="A39" s="227" t="s">
        <v>733</v>
      </c>
      <c r="B39" s="219">
        <v>1</v>
      </c>
      <c r="C39" s="219" t="s">
        <v>734</v>
      </c>
      <c r="D39" s="219">
        <v>1.5</v>
      </c>
      <c r="E39" s="219" t="s">
        <v>768</v>
      </c>
      <c r="F39" s="219" t="s">
        <v>720</v>
      </c>
      <c r="G39" s="219" t="s">
        <v>770</v>
      </c>
      <c r="H39" s="219" t="s">
        <v>771</v>
      </c>
      <c r="I39" s="206" t="s">
        <v>1300</v>
      </c>
      <c r="O39" s="235">
        <v>44671</v>
      </c>
    </row>
    <row r="40" spans="1:15" ht="75" x14ac:dyDescent="0.2">
      <c r="A40" s="227" t="s">
        <v>733</v>
      </c>
      <c r="B40" s="220">
        <v>1</v>
      </c>
      <c r="C40" s="220" t="s">
        <v>734</v>
      </c>
      <c r="D40" s="220">
        <v>1.5</v>
      </c>
      <c r="E40" s="220" t="s">
        <v>768</v>
      </c>
      <c r="F40" s="220" t="s">
        <v>718</v>
      </c>
      <c r="G40" s="220">
        <v>1</v>
      </c>
      <c r="H40" s="220" t="s">
        <v>355</v>
      </c>
      <c r="I40" s="206" t="s">
        <v>1289</v>
      </c>
      <c r="J40" s="206" t="s">
        <v>1298</v>
      </c>
      <c r="O40" s="235">
        <v>44671</v>
      </c>
    </row>
    <row r="41" spans="1:15" ht="120" x14ac:dyDescent="0.2">
      <c r="A41" s="227" t="s">
        <v>733</v>
      </c>
      <c r="B41" s="220">
        <v>1</v>
      </c>
      <c r="C41" s="220" t="s">
        <v>734</v>
      </c>
      <c r="D41" s="220">
        <v>1.5</v>
      </c>
      <c r="E41" s="220" t="s">
        <v>768</v>
      </c>
      <c r="F41" s="220" t="s">
        <v>718</v>
      </c>
      <c r="G41" s="220">
        <v>2</v>
      </c>
      <c r="H41" s="220" t="s">
        <v>498</v>
      </c>
      <c r="I41" s="206" t="s">
        <v>1289</v>
      </c>
      <c r="J41" s="206" t="s">
        <v>1299</v>
      </c>
      <c r="O41" s="235">
        <v>44671</v>
      </c>
    </row>
    <row r="42" spans="1:15" ht="92.45" customHeight="1" thickBot="1" x14ac:dyDescent="0.25">
      <c r="A42" s="227" t="s">
        <v>733</v>
      </c>
      <c r="B42" s="220">
        <v>1</v>
      </c>
      <c r="C42" s="220" t="s">
        <v>734</v>
      </c>
      <c r="D42" s="220">
        <v>1.5</v>
      </c>
      <c r="E42" s="220" t="s">
        <v>768</v>
      </c>
      <c r="F42" s="220" t="s">
        <v>718</v>
      </c>
      <c r="G42" s="220">
        <v>3</v>
      </c>
      <c r="H42" s="220" t="s">
        <v>772</v>
      </c>
      <c r="I42" s="206" t="s">
        <v>1289</v>
      </c>
      <c r="J42" s="206" t="s">
        <v>1786</v>
      </c>
      <c r="O42" s="235">
        <v>44671</v>
      </c>
    </row>
    <row r="43" spans="1:15" ht="30.75" thickBot="1" x14ac:dyDescent="0.25">
      <c r="A43" s="222" t="s">
        <v>733</v>
      </c>
      <c r="B43" s="223">
        <v>1</v>
      </c>
      <c r="C43" s="223" t="s">
        <v>734</v>
      </c>
      <c r="D43" s="223">
        <v>1.5</v>
      </c>
      <c r="E43" s="223" t="s">
        <v>768</v>
      </c>
      <c r="F43" s="223" t="s">
        <v>1282</v>
      </c>
      <c r="G43" s="223">
        <v>5</v>
      </c>
      <c r="H43" s="223" t="s">
        <v>718</v>
      </c>
      <c r="I43" s="225"/>
      <c r="O43" s="235">
        <v>44671</v>
      </c>
    </row>
    <row r="44" spans="1:15" ht="45" x14ac:dyDescent="0.2">
      <c r="A44" s="227" t="s">
        <v>733</v>
      </c>
      <c r="B44" s="221">
        <v>2</v>
      </c>
      <c r="C44" s="221" t="s">
        <v>773</v>
      </c>
      <c r="D44" s="221">
        <v>2.1</v>
      </c>
      <c r="E44" s="221" t="s">
        <v>774</v>
      </c>
      <c r="F44" s="221" t="s">
        <v>722</v>
      </c>
      <c r="G44" s="221">
        <v>1</v>
      </c>
      <c r="H44" s="221" t="s">
        <v>775</v>
      </c>
      <c r="I44" s="206" t="s">
        <v>1289</v>
      </c>
      <c r="J44" s="206" t="s">
        <v>1301</v>
      </c>
      <c r="O44" s="235">
        <v>44671</v>
      </c>
    </row>
    <row r="45" spans="1:15" ht="60" x14ac:dyDescent="0.2">
      <c r="A45" s="227" t="s">
        <v>733</v>
      </c>
      <c r="B45" s="219">
        <v>2</v>
      </c>
      <c r="C45" s="219" t="s">
        <v>773</v>
      </c>
      <c r="D45" s="219">
        <v>2.1</v>
      </c>
      <c r="E45" s="219" t="s">
        <v>774</v>
      </c>
      <c r="F45" s="219" t="s">
        <v>720</v>
      </c>
      <c r="G45" s="219">
        <v>1</v>
      </c>
      <c r="H45" s="219" t="s">
        <v>776</v>
      </c>
      <c r="I45" s="206" t="s">
        <v>1289</v>
      </c>
      <c r="J45" s="206" t="s">
        <v>1302</v>
      </c>
      <c r="O45" s="235">
        <v>44671</v>
      </c>
    </row>
    <row r="46" spans="1:15" ht="45" x14ac:dyDescent="0.2">
      <c r="A46" s="227" t="s">
        <v>733</v>
      </c>
      <c r="B46" s="219">
        <v>2</v>
      </c>
      <c r="C46" s="219" t="s">
        <v>773</v>
      </c>
      <c r="D46" s="219">
        <v>2.1</v>
      </c>
      <c r="E46" s="219" t="s">
        <v>774</v>
      </c>
      <c r="F46" s="219" t="s">
        <v>720</v>
      </c>
      <c r="G46" s="219">
        <v>2</v>
      </c>
      <c r="H46" s="219" t="s">
        <v>777</v>
      </c>
      <c r="I46" s="206" t="s">
        <v>1289</v>
      </c>
      <c r="J46" s="206" t="s">
        <v>1303</v>
      </c>
      <c r="O46" s="235">
        <v>44671</v>
      </c>
    </row>
    <row r="47" spans="1:15" ht="84" customHeight="1" x14ac:dyDescent="0.2">
      <c r="A47" s="227" t="s">
        <v>733</v>
      </c>
      <c r="B47" s="220">
        <v>2</v>
      </c>
      <c r="C47" s="220" t="s">
        <v>773</v>
      </c>
      <c r="D47" s="220">
        <v>2.1</v>
      </c>
      <c r="E47" s="220" t="s">
        <v>774</v>
      </c>
      <c r="F47" s="220" t="s">
        <v>718</v>
      </c>
      <c r="G47" s="220">
        <v>1</v>
      </c>
      <c r="H47" s="220" t="s">
        <v>778</v>
      </c>
      <c r="I47" s="206" t="s">
        <v>1289</v>
      </c>
      <c r="J47" s="206" t="s">
        <v>1787</v>
      </c>
      <c r="K47" s="206" t="s">
        <v>1796</v>
      </c>
      <c r="L47" s="206" t="s">
        <v>1795</v>
      </c>
      <c r="O47" s="235">
        <v>44671</v>
      </c>
    </row>
    <row r="48" spans="1:15" ht="28.15" customHeight="1" x14ac:dyDescent="0.2">
      <c r="A48" s="227" t="s">
        <v>733</v>
      </c>
      <c r="B48" s="220">
        <v>2</v>
      </c>
      <c r="C48" s="220" t="s">
        <v>773</v>
      </c>
      <c r="D48" s="220">
        <v>2.1</v>
      </c>
      <c r="E48" s="220" t="s">
        <v>774</v>
      </c>
      <c r="F48" s="220" t="s">
        <v>718</v>
      </c>
      <c r="G48" s="220">
        <v>2</v>
      </c>
      <c r="H48" s="220" t="s">
        <v>779</v>
      </c>
      <c r="I48" s="206" t="s">
        <v>1289</v>
      </c>
      <c r="J48" s="206" t="s">
        <v>1304</v>
      </c>
      <c r="O48" s="235">
        <v>44671</v>
      </c>
    </row>
    <row r="49" spans="1:15" ht="81" customHeight="1" x14ac:dyDescent="0.2">
      <c r="A49" s="227" t="s">
        <v>733</v>
      </c>
      <c r="B49" s="220">
        <v>2</v>
      </c>
      <c r="C49" s="220" t="s">
        <v>773</v>
      </c>
      <c r="D49" s="220">
        <v>2.1</v>
      </c>
      <c r="E49" s="220" t="s">
        <v>774</v>
      </c>
      <c r="F49" s="220" t="s">
        <v>718</v>
      </c>
      <c r="G49" s="220">
        <v>3</v>
      </c>
      <c r="H49" s="220" t="s">
        <v>780</v>
      </c>
      <c r="I49" s="206" t="s">
        <v>1289</v>
      </c>
      <c r="J49" s="206" t="s">
        <v>1788</v>
      </c>
      <c r="O49" s="235">
        <v>44671</v>
      </c>
    </row>
    <row r="50" spans="1:15" ht="79.900000000000006" customHeight="1" x14ac:dyDescent="0.2">
      <c r="A50" s="227" t="s">
        <v>733</v>
      </c>
      <c r="B50" s="220">
        <v>2</v>
      </c>
      <c r="C50" s="220" t="s">
        <v>773</v>
      </c>
      <c r="D50" s="220">
        <v>2.1</v>
      </c>
      <c r="E50" s="220" t="s">
        <v>774</v>
      </c>
      <c r="F50" s="220" t="s">
        <v>718</v>
      </c>
      <c r="G50" s="220">
        <v>4</v>
      </c>
      <c r="H50" s="220" t="s">
        <v>781</v>
      </c>
      <c r="I50" s="206" t="s">
        <v>1289</v>
      </c>
      <c r="J50" s="206" t="s">
        <v>1302</v>
      </c>
      <c r="O50" s="235">
        <v>44671</v>
      </c>
    </row>
    <row r="51" spans="1:15" ht="68.45" customHeight="1" thickBot="1" x14ac:dyDescent="0.25">
      <c r="A51" s="227" t="s">
        <v>733</v>
      </c>
      <c r="B51" s="220">
        <v>2</v>
      </c>
      <c r="C51" s="220" t="s">
        <v>773</v>
      </c>
      <c r="D51" s="220">
        <v>2.1</v>
      </c>
      <c r="E51" s="220" t="s">
        <v>774</v>
      </c>
      <c r="F51" s="220" t="s">
        <v>718</v>
      </c>
      <c r="G51" s="220">
        <v>5</v>
      </c>
      <c r="H51" s="220" t="s">
        <v>782</v>
      </c>
      <c r="I51" s="206" t="s">
        <v>1289</v>
      </c>
      <c r="J51" s="206" t="s">
        <v>1302</v>
      </c>
      <c r="O51" s="235">
        <v>44671</v>
      </c>
    </row>
    <row r="52" spans="1:15" ht="28.9" customHeight="1" thickBot="1" x14ac:dyDescent="0.25">
      <c r="A52" s="222" t="s">
        <v>733</v>
      </c>
      <c r="B52" s="223">
        <v>2</v>
      </c>
      <c r="C52" s="223" t="s">
        <v>773</v>
      </c>
      <c r="D52" s="223">
        <v>2.1</v>
      </c>
      <c r="E52" s="223" t="s">
        <v>774</v>
      </c>
      <c r="F52" s="223" t="s">
        <v>1282</v>
      </c>
      <c r="G52" s="223">
        <v>5</v>
      </c>
      <c r="H52" s="223" t="s">
        <v>718</v>
      </c>
      <c r="I52" s="225"/>
      <c r="O52" s="235">
        <v>44671</v>
      </c>
    </row>
    <row r="53" spans="1:15" ht="45" x14ac:dyDescent="0.2">
      <c r="A53" s="227" t="s">
        <v>733</v>
      </c>
      <c r="B53" s="221">
        <v>2</v>
      </c>
      <c r="C53" s="221" t="s">
        <v>773</v>
      </c>
      <c r="D53" s="221">
        <v>2.2000000000000002</v>
      </c>
      <c r="E53" s="221" t="s">
        <v>783</v>
      </c>
      <c r="F53" s="221" t="s">
        <v>722</v>
      </c>
      <c r="G53" s="221">
        <v>1</v>
      </c>
      <c r="H53" s="221" t="s">
        <v>784</v>
      </c>
      <c r="I53" s="206" t="s">
        <v>1289</v>
      </c>
      <c r="J53" s="206" t="s">
        <v>1305</v>
      </c>
      <c r="O53" s="235">
        <v>44671</v>
      </c>
    </row>
    <row r="54" spans="1:15" ht="60" x14ac:dyDescent="0.2">
      <c r="A54" s="227" t="s">
        <v>733</v>
      </c>
      <c r="B54" s="219">
        <v>2</v>
      </c>
      <c r="C54" s="219" t="s">
        <v>773</v>
      </c>
      <c r="D54" s="219">
        <v>2.2000000000000002</v>
      </c>
      <c r="E54" s="219" t="s">
        <v>783</v>
      </c>
      <c r="F54" s="219" t="s">
        <v>720</v>
      </c>
      <c r="G54" s="219">
        <v>1</v>
      </c>
      <c r="H54" s="219" t="s">
        <v>785</v>
      </c>
      <c r="I54" s="206" t="s">
        <v>1289</v>
      </c>
      <c r="J54" s="206" t="s">
        <v>1789</v>
      </c>
      <c r="O54" s="235">
        <v>44671</v>
      </c>
    </row>
    <row r="55" spans="1:15" ht="135" x14ac:dyDescent="0.2">
      <c r="A55" s="227" t="s">
        <v>733</v>
      </c>
      <c r="B55" s="219">
        <v>2</v>
      </c>
      <c r="C55" s="219" t="s">
        <v>773</v>
      </c>
      <c r="D55" s="219">
        <v>2.2000000000000002</v>
      </c>
      <c r="E55" s="219" t="s">
        <v>783</v>
      </c>
      <c r="F55" s="219" t="s">
        <v>720</v>
      </c>
      <c r="G55" s="219">
        <v>2</v>
      </c>
      <c r="H55" s="219" t="s">
        <v>786</v>
      </c>
      <c r="I55" s="206" t="s">
        <v>1289</v>
      </c>
      <c r="J55" s="206" t="s">
        <v>1790</v>
      </c>
      <c r="O55" s="235">
        <v>44671</v>
      </c>
    </row>
    <row r="56" spans="1:15" ht="60" x14ac:dyDescent="0.2">
      <c r="A56" s="227" t="s">
        <v>733</v>
      </c>
      <c r="B56" s="219">
        <v>2</v>
      </c>
      <c r="C56" s="219" t="s">
        <v>773</v>
      </c>
      <c r="D56" s="219">
        <v>2.2000000000000002</v>
      </c>
      <c r="E56" s="219" t="s">
        <v>783</v>
      </c>
      <c r="F56" s="219" t="s">
        <v>720</v>
      </c>
      <c r="G56" s="219">
        <v>3</v>
      </c>
      <c r="H56" s="219" t="s">
        <v>787</v>
      </c>
      <c r="I56" s="206" t="s">
        <v>1289</v>
      </c>
      <c r="J56" s="206" t="s">
        <v>1306</v>
      </c>
      <c r="O56" s="235">
        <v>44671</v>
      </c>
    </row>
    <row r="57" spans="1:15" ht="75" x14ac:dyDescent="0.2">
      <c r="A57" s="227" t="s">
        <v>733</v>
      </c>
      <c r="B57" s="220">
        <v>2</v>
      </c>
      <c r="C57" s="220" t="s">
        <v>773</v>
      </c>
      <c r="D57" s="220">
        <v>2.2000000000000002</v>
      </c>
      <c r="E57" s="220" t="s">
        <v>783</v>
      </c>
      <c r="F57" s="220" t="s">
        <v>718</v>
      </c>
      <c r="G57" s="220">
        <v>1</v>
      </c>
      <c r="H57" s="220" t="s">
        <v>788</v>
      </c>
      <c r="I57" s="206" t="s">
        <v>1289</v>
      </c>
      <c r="J57" s="206" t="s">
        <v>1791</v>
      </c>
      <c r="K57" s="206" t="s">
        <v>1796</v>
      </c>
      <c r="L57" s="206" t="s">
        <v>1795</v>
      </c>
      <c r="O57" s="235">
        <v>44671</v>
      </c>
    </row>
    <row r="58" spans="1:15" ht="75" x14ac:dyDescent="0.2">
      <c r="A58" s="227" t="s">
        <v>733</v>
      </c>
      <c r="B58" s="220">
        <v>2</v>
      </c>
      <c r="C58" s="220" t="s">
        <v>773</v>
      </c>
      <c r="D58" s="220">
        <v>2.2000000000000002</v>
      </c>
      <c r="E58" s="220" t="s">
        <v>783</v>
      </c>
      <c r="F58" s="220" t="s">
        <v>718</v>
      </c>
      <c r="G58" s="220">
        <v>2</v>
      </c>
      <c r="H58" s="220" t="s">
        <v>789</v>
      </c>
      <c r="I58" s="206" t="s">
        <v>1289</v>
      </c>
      <c r="J58" s="206" t="s">
        <v>1307</v>
      </c>
      <c r="O58" s="235">
        <v>44671</v>
      </c>
    </row>
    <row r="59" spans="1:15" ht="90.75" thickBot="1" x14ac:dyDescent="0.25">
      <c r="A59" s="227" t="s">
        <v>733</v>
      </c>
      <c r="B59" s="220">
        <v>2</v>
      </c>
      <c r="C59" s="220" t="s">
        <v>773</v>
      </c>
      <c r="D59" s="220">
        <v>2.2000000000000002</v>
      </c>
      <c r="E59" s="220" t="s">
        <v>783</v>
      </c>
      <c r="F59" s="220" t="s">
        <v>718</v>
      </c>
      <c r="G59" s="220">
        <v>3</v>
      </c>
      <c r="H59" s="220" t="s">
        <v>790</v>
      </c>
      <c r="I59" s="206" t="s">
        <v>1289</v>
      </c>
      <c r="J59" s="206" t="s">
        <v>1307</v>
      </c>
      <c r="O59" s="235">
        <v>44671</v>
      </c>
    </row>
    <row r="60" spans="1:15" ht="30.75" thickBot="1" x14ac:dyDescent="0.25">
      <c r="A60" s="222" t="s">
        <v>733</v>
      </c>
      <c r="B60" s="223">
        <v>2</v>
      </c>
      <c r="C60" s="223" t="s">
        <v>773</v>
      </c>
      <c r="D60" s="223">
        <v>2.2000000000000002</v>
      </c>
      <c r="E60" s="223" t="s">
        <v>783</v>
      </c>
      <c r="F60" s="223" t="s">
        <v>1282</v>
      </c>
      <c r="G60" s="223">
        <v>5</v>
      </c>
      <c r="H60" s="223" t="s">
        <v>718</v>
      </c>
      <c r="I60" s="225"/>
      <c r="O60" s="235">
        <v>44671</v>
      </c>
    </row>
    <row r="61" spans="1:15" ht="60" x14ac:dyDescent="0.2">
      <c r="A61" s="227" t="s">
        <v>733</v>
      </c>
      <c r="B61" s="221">
        <v>2</v>
      </c>
      <c r="C61" s="221" t="s">
        <v>773</v>
      </c>
      <c r="D61" s="221">
        <v>2.2999999999999998</v>
      </c>
      <c r="E61" s="221" t="s">
        <v>791</v>
      </c>
      <c r="F61" s="221" t="s">
        <v>722</v>
      </c>
      <c r="G61" s="221">
        <v>1</v>
      </c>
      <c r="H61" s="221" t="s">
        <v>792</v>
      </c>
      <c r="I61" s="206" t="s">
        <v>1289</v>
      </c>
      <c r="J61" s="206" t="s">
        <v>1305</v>
      </c>
      <c r="O61" s="235">
        <v>44671</v>
      </c>
    </row>
    <row r="62" spans="1:15" ht="60" x14ac:dyDescent="0.2">
      <c r="A62" s="227" t="s">
        <v>733</v>
      </c>
      <c r="B62" s="219">
        <v>2</v>
      </c>
      <c r="C62" s="219" t="s">
        <v>773</v>
      </c>
      <c r="D62" s="219">
        <v>2.2999999999999998</v>
      </c>
      <c r="E62" s="219" t="s">
        <v>791</v>
      </c>
      <c r="F62" s="219" t="s">
        <v>720</v>
      </c>
      <c r="G62" s="219">
        <v>1</v>
      </c>
      <c r="H62" s="219" t="s">
        <v>793</v>
      </c>
      <c r="I62" s="206" t="s">
        <v>1289</v>
      </c>
      <c r="J62" s="206" t="s">
        <v>1302</v>
      </c>
      <c r="O62" s="235">
        <v>44671</v>
      </c>
    </row>
    <row r="63" spans="1:15" ht="45" x14ac:dyDescent="0.2">
      <c r="A63" s="227" t="s">
        <v>733</v>
      </c>
      <c r="B63" s="219">
        <v>2</v>
      </c>
      <c r="C63" s="219" t="s">
        <v>773</v>
      </c>
      <c r="D63" s="219">
        <v>2.2999999999999998</v>
      </c>
      <c r="E63" s="219" t="s">
        <v>791</v>
      </c>
      <c r="F63" s="219" t="s">
        <v>720</v>
      </c>
      <c r="G63" s="219">
        <v>2</v>
      </c>
      <c r="H63" s="219" t="s">
        <v>794</v>
      </c>
      <c r="I63" s="206" t="s">
        <v>1289</v>
      </c>
      <c r="J63" s="206" t="s">
        <v>1302</v>
      </c>
      <c r="O63" s="235">
        <v>44671</v>
      </c>
    </row>
    <row r="64" spans="1:15" ht="75" x14ac:dyDescent="0.2">
      <c r="A64" s="227" t="s">
        <v>733</v>
      </c>
      <c r="B64" s="220">
        <v>2</v>
      </c>
      <c r="C64" s="220" t="s">
        <v>773</v>
      </c>
      <c r="D64" s="220">
        <v>2.2999999999999998</v>
      </c>
      <c r="E64" s="220" t="s">
        <v>791</v>
      </c>
      <c r="F64" s="220" t="s">
        <v>718</v>
      </c>
      <c r="G64" s="220">
        <v>1</v>
      </c>
      <c r="H64" s="220" t="s">
        <v>795</v>
      </c>
      <c r="I64" s="206" t="s">
        <v>1289</v>
      </c>
      <c r="J64" s="206" t="s">
        <v>1792</v>
      </c>
      <c r="O64" s="235">
        <v>44671</v>
      </c>
    </row>
    <row r="65" spans="1:15" ht="30" x14ac:dyDescent="0.2">
      <c r="A65" s="227" t="s">
        <v>733</v>
      </c>
      <c r="B65" s="220">
        <v>2</v>
      </c>
      <c r="C65" s="220" t="s">
        <v>773</v>
      </c>
      <c r="D65" s="220">
        <v>2.2999999999999998</v>
      </c>
      <c r="E65" s="220" t="s">
        <v>791</v>
      </c>
      <c r="F65" s="220" t="s">
        <v>718</v>
      </c>
      <c r="G65" s="220">
        <v>2</v>
      </c>
      <c r="H65" s="220" t="s">
        <v>796</v>
      </c>
      <c r="I65" s="206" t="s">
        <v>1289</v>
      </c>
      <c r="J65" s="206" t="s">
        <v>1792</v>
      </c>
      <c r="O65" s="235">
        <v>44671</v>
      </c>
    </row>
    <row r="66" spans="1:15" ht="45" x14ac:dyDescent="0.2">
      <c r="A66" s="227" t="s">
        <v>733</v>
      </c>
      <c r="B66" s="220">
        <v>2</v>
      </c>
      <c r="C66" s="220" t="s">
        <v>773</v>
      </c>
      <c r="D66" s="220">
        <v>2.2999999999999998</v>
      </c>
      <c r="E66" s="220" t="s">
        <v>791</v>
      </c>
      <c r="F66" s="220" t="s">
        <v>718</v>
      </c>
      <c r="G66" s="220">
        <v>3</v>
      </c>
      <c r="H66" s="220" t="s">
        <v>797</v>
      </c>
      <c r="I66" s="206" t="s">
        <v>737</v>
      </c>
      <c r="J66" s="206" t="s">
        <v>1793</v>
      </c>
      <c r="K66" s="206" t="s">
        <v>1794</v>
      </c>
      <c r="L66" s="206" t="s">
        <v>1795</v>
      </c>
      <c r="O66" s="235">
        <v>44671</v>
      </c>
    </row>
    <row r="67" spans="1:15" ht="45.75" thickBot="1" x14ac:dyDescent="0.25">
      <c r="A67" s="227" t="s">
        <v>733</v>
      </c>
      <c r="B67" s="220">
        <v>2</v>
      </c>
      <c r="C67" s="220" t="s">
        <v>773</v>
      </c>
      <c r="D67" s="220">
        <v>2.2999999999999998</v>
      </c>
      <c r="E67" s="220" t="s">
        <v>791</v>
      </c>
      <c r="F67" s="220" t="s">
        <v>718</v>
      </c>
      <c r="G67" s="220">
        <v>4</v>
      </c>
      <c r="H67" s="220" t="s">
        <v>798</v>
      </c>
      <c r="I67" s="206" t="s">
        <v>1289</v>
      </c>
      <c r="J67" s="206" t="s">
        <v>1792</v>
      </c>
      <c r="O67" s="235">
        <v>44671</v>
      </c>
    </row>
    <row r="68" spans="1:15" ht="30.75" thickBot="1" x14ac:dyDescent="0.25">
      <c r="A68" s="222" t="s">
        <v>733</v>
      </c>
      <c r="B68" s="223">
        <v>2</v>
      </c>
      <c r="C68" s="223" t="s">
        <v>773</v>
      </c>
      <c r="D68" s="223">
        <v>2.2999999999999998</v>
      </c>
      <c r="E68" s="223" t="s">
        <v>791</v>
      </c>
      <c r="F68" s="223" t="s">
        <v>1282</v>
      </c>
      <c r="G68" s="223">
        <v>4</v>
      </c>
      <c r="H68" s="223" t="s">
        <v>719</v>
      </c>
      <c r="I68" s="225"/>
      <c r="O68" s="235">
        <v>44671</v>
      </c>
    </row>
    <row r="69" spans="1:15" ht="45" x14ac:dyDescent="0.2">
      <c r="A69" s="227" t="s">
        <v>733</v>
      </c>
      <c r="B69" s="221">
        <v>2</v>
      </c>
      <c r="C69" s="221" t="s">
        <v>773</v>
      </c>
      <c r="D69" s="221">
        <v>2.4</v>
      </c>
      <c r="E69" s="221" t="s">
        <v>799</v>
      </c>
      <c r="F69" s="221" t="s">
        <v>722</v>
      </c>
      <c r="G69" s="221">
        <v>1</v>
      </c>
      <c r="H69" s="221" t="s">
        <v>800</v>
      </c>
      <c r="I69" s="206" t="s">
        <v>1289</v>
      </c>
      <c r="J69" s="206" t="s">
        <v>1308</v>
      </c>
      <c r="O69" s="235">
        <v>44671</v>
      </c>
    </row>
    <row r="70" spans="1:15" ht="30" x14ac:dyDescent="0.2">
      <c r="A70" s="227" t="s">
        <v>733</v>
      </c>
      <c r="B70" s="221">
        <v>2</v>
      </c>
      <c r="C70" s="221" t="s">
        <v>773</v>
      </c>
      <c r="D70" s="221">
        <v>2.4</v>
      </c>
      <c r="E70" s="221" t="s">
        <v>799</v>
      </c>
      <c r="F70" s="221" t="s">
        <v>722</v>
      </c>
      <c r="G70" s="221">
        <v>2</v>
      </c>
      <c r="H70" s="221" t="s">
        <v>801</v>
      </c>
      <c r="I70" s="206" t="s">
        <v>1289</v>
      </c>
      <c r="J70" s="206" t="s">
        <v>1308</v>
      </c>
      <c r="O70" s="235">
        <v>44671</v>
      </c>
    </row>
    <row r="71" spans="1:15" ht="60" x14ac:dyDescent="0.2">
      <c r="A71" s="227" t="s">
        <v>733</v>
      </c>
      <c r="B71" s="221">
        <v>2</v>
      </c>
      <c r="C71" s="221" t="s">
        <v>773</v>
      </c>
      <c r="D71" s="221">
        <v>2.4</v>
      </c>
      <c r="E71" s="221" t="s">
        <v>799</v>
      </c>
      <c r="F71" s="221" t="s">
        <v>722</v>
      </c>
      <c r="G71" s="221">
        <v>3</v>
      </c>
      <c r="H71" s="221" t="s">
        <v>802</v>
      </c>
      <c r="I71" s="206" t="s">
        <v>1289</v>
      </c>
      <c r="J71" s="206" t="s">
        <v>1309</v>
      </c>
      <c r="O71" s="235">
        <v>44671</v>
      </c>
    </row>
    <row r="72" spans="1:15" ht="30" x14ac:dyDescent="0.2">
      <c r="A72" s="227" t="s">
        <v>733</v>
      </c>
      <c r="B72" s="219">
        <v>2</v>
      </c>
      <c r="C72" s="219" t="s">
        <v>773</v>
      </c>
      <c r="D72" s="219">
        <v>2.4</v>
      </c>
      <c r="E72" s="219" t="s">
        <v>799</v>
      </c>
      <c r="F72" s="219" t="s">
        <v>720</v>
      </c>
      <c r="G72" s="219">
        <v>1</v>
      </c>
      <c r="H72" s="219" t="s">
        <v>803</v>
      </c>
      <c r="I72" s="206" t="s">
        <v>1289</v>
      </c>
      <c r="J72" s="206" t="s">
        <v>1303</v>
      </c>
      <c r="O72" s="235">
        <v>44671</v>
      </c>
    </row>
    <row r="73" spans="1:15" ht="30" x14ac:dyDescent="0.2">
      <c r="A73" s="227" t="s">
        <v>733</v>
      </c>
      <c r="B73" s="219">
        <v>2</v>
      </c>
      <c r="C73" s="219" t="s">
        <v>773</v>
      </c>
      <c r="D73" s="219">
        <v>2.4</v>
      </c>
      <c r="E73" s="219" t="s">
        <v>799</v>
      </c>
      <c r="F73" s="219" t="s">
        <v>720</v>
      </c>
      <c r="G73" s="219">
        <v>2</v>
      </c>
      <c r="H73" s="219" t="s">
        <v>804</v>
      </c>
      <c r="I73" s="206" t="s">
        <v>1289</v>
      </c>
      <c r="J73" s="206" t="s">
        <v>1310</v>
      </c>
      <c r="O73" s="235">
        <v>44671</v>
      </c>
    </row>
    <row r="74" spans="1:15" ht="45" x14ac:dyDescent="0.2">
      <c r="A74" s="227" t="s">
        <v>733</v>
      </c>
      <c r="B74" s="219">
        <v>2</v>
      </c>
      <c r="C74" s="219" t="s">
        <v>773</v>
      </c>
      <c r="D74" s="219">
        <v>2.4</v>
      </c>
      <c r="E74" s="219" t="s">
        <v>799</v>
      </c>
      <c r="F74" s="219" t="s">
        <v>720</v>
      </c>
      <c r="G74" s="219">
        <v>3</v>
      </c>
      <c r="H74" s="219" t="s">
        <v>805</v>
      </c>
      <c r="I74" s="206" t="s">
        <v>1289</v>
      </c>
      <c r="J74" s="206" t="s">
        <v>1311</v>
      </c>
      <c r="O74" s="235">
        <v>44671</v>
      </c>
    </row>
    <row r="75" spans="1:15" ht="60" x14ac:dyDescent="0.2">
      <c r="A75" s="227" t="s">
        <v>733</v>
      </c>
      <c r="B75" s="219">
        <v>2</v>
      </c>
      <c r="C75" s="219" t="s">
        <v>773</v>
      </c>
      <c r="D75" s="219">
        <v>2.4</v>
      </c>
      <c r="E75" s="219" t="s">
        <v>799</v>
      </c>
      <c r="F75" s="219" t="s">
        <v>720</v>
      </c>
      <c r="G75" s="219">
        <v>4</v>
      </c>
      <c r="H75" s="219" t="s">
        <v>806</v>
      </c>
      <c r="I75" s="206" t="s">
        <v>1289</v>
      </c>
      <c r="J75" s="206" t="s">
        <v>1312</v>
      </c>
      <c r="O75" s="235">
        <v>44671</v>
      </c>
    </row>
    <row r="76" spans="1:15" ht="45" x14ac:dyDescent="0.2">
      <c r="A76" s="227" t="s">
        <v>733</v>
      </c>
      <c r="B76" s="220">
        <v>2</v>
      </c>
      <c r="C76" s="220" t="s">
        <v>773</v>
      </c>
      <c r="D76" s="220">
        <v>2.4</v>
      </c>
      <c r="E76" s="220" t="s">
        <v>799</v>
      </c>
      <c r="F76" s="220" t="s">
        <v>718</v>
      </c>
      <c r="G76" s="220">
        <v>1</v>
      </c>
      <c r="H76" s="220" t="s">
        <v>807</v>
      </c>
      <c r="I76" s="206" t="s">
        <v>737</v>
      </c>
      <c r="J76" s="206" t="s">
        <v>1313</v>
      </c>
      <c r="K76" s="206" t="s">
        <v>1797</v>
      </c>
      <c r="L76" s="206" t="s">
        <v>1795</v>
      </c>
      <c r="O76" s="235">
        <v>44671</v>
      </c>
    </row>
    <row r="77" spans="1:15" ht="90.75" thickBot="1" x14ac:dyDescent="0.25">
      <c r="A77" s="227" t="s">
        <v>733</v>
      </c>
      <c r="B77" s="220">
        <v>2</v>
      </c>
      <c r="C77" s="220" t="s">
        <v>773</v>
      </c>
      <c r="D77" s="220">
        <v>2.4</v>
      </c>
      <c r="E77" s="220" t="s">
        <v>799</v>
      </c>
      <c r="F77" s="220" t="s">
        <v>718</v>
      </c>
      <c r="G77" s="220">
        <v>2</v>
      </c>
      <c r="H77" s="220" t="s">
        <v>808</v>
      </c>
      <c r="I77" s="206" t="s">
        <v>1289</v>
      </c>
      <c r="J77" s="206" t="s">
        <v>1314</v>
      </c>
      <c r="O77" s="235">
        <v>44671</v>
      </c>
    </row>
    <row r="78" spans="1:15" ht="25.5" customHeight="1" thickBot="1" x14ac:dyDescent="0.25">
      <c r="A78" s="222" t="s">
        <v>733</v>
      </c>
      <c r="B78" s="223">
        <v>2</v>
      </c>
      <c r="C78" s="223" t="s">
        <v>773</v>
      </c>
      <c r="D78" s="223">
        <v>2.4</v>
      </c>
      <c r="E78" s="223" t="s">
        <v>799</v>
      </c>
      <c r="F78" s="223" t="s">
        <v>1282</v>
      </c>
      <c r="G78" s="223">
        <v>4</v>
      </c>
      <c r="H78" s="223" t="s">
        <v>719</v>
      </c>
      <c r="I78" s="225"/>
      <c r="O78" s="235">
        <v>44671</v>
      </c>
    </row>
    <row r="79" spans="1:15" ht="22.9" customHeight="1" x14ac:dyDescent="0.2">
      <c r="A79" s="227" t="s">
        <v>733</v>
      </c>
      <c r="B79" s="221">
        <v>3</v>
      </c>
      <c r="C79" s="221" t="s">
        <v>809</v>
      </c>
      <c r="D79" s="221">
        <v>3.1</v>
      </c>
      <c r="E79" s="221" t="s">
        <v>810</v>
      </c>
      <c r="F79" s="221" t="s">
        <v>722</v>
      </c>
      <c r="G79" s="221" t="s">
        <v>811</v>
      </c>
      <c r="H79" s="221"/>
      <c r="I79" s="206" t="s">
        <v>1300</v>
      </c>
      <c r="O79" s="235">
        <v>44671</v>
      </c>
    </row>
    <row r="80" spans="1:15" ht="105" customHeight="1" x14ac:dyDescent="0.2">
      <c r="A80" s="227" t="s">
        <v>733</v>
      </c>
      <c r="B80" s="219">
        <v>3</v>
      </c>
      <c r="C80" s="219" t="s">
        <v>809</v>
      </c>
      <c r="D80" s="219">
        <v>3.1</v>
      </c>
      <c r="E80" s="219" t="s">
        <v>810</v>
      </c>
      <c r="F80" s="219" t="s">
        <v>720</v>
      </c>
      <c r="G80" s="219">
        <v>1</v>
      </c>
      <c r="H80" s="219" t="s">
        <v>812</v>
      </c>
      <c r="I80" s="206" t="s">
        <v>1289</v>
      </c>
      <c r="J80" s="206" t="s">
        <v>1798</v>
      </c>
      <c r="O80" s="235">
        <v>44671</v>
      </c>
    </row>
    <row r="81" spans="1:15" ht="60" x14ac:dyDescent="0.2">
      <c r="A81" s="227" t="s">
        <v>733</v>
      </c>
      <c r="B81" s="219">
        <v>3</v>
      </c>
      <c r="C81" s="219" t="s">
        <v>809</v>
      </c>
      <c r="D81" s="219">
        <v>3.1</v>
      </c>
      <c r="E81" s="219" t="s">
        <v>810</v>
      </c>
      <c r="F81" s="219" t="s">
        <v>720</v>
      </c>
      <c r="G81" s="219">
        <v>2</v>
      </c>
      <c r="H81" s="219" t="s">
        <v>813</v>
      </c>
      <c r="I81" s="206" t="s">
        <v>1289</v>
      </c>
      <c r="J81" s="206" t="s">
        <v>1798</v>
      </c>
      <c r="O81" s="235">
        <v>44671</v>
      </c>
    </row>
    <row r="82" spans="1:15" ht="75" x14ac:dyDescent="0.2">
      <c r="A82" s="227" t="s">
        <v>733</v>
      </c>
      <c r="B82" s="219">
        <v>3</v>
      </c>
      <c r="C82" s="219" t="s">
        <v>809</v>
      </c>
      <c r="D82" s="219">
        <v>3.1</v>
      </c>
      <c r="E82" s="219" t="s">
        <v>810</v>
      </c>
      <c r="F82" s="219" t="s">
        <v>720</v>
      </c>
      <c r="G82" s="219">
        <v>3</v>
      </c>
      <c r="H82" s="219" t="s">
        <v>814</v>
      </c>
      <c r="I82" s="206" t="s">
        <v>1289</v>
      </c>
      <c r="J82" s="206" t="s">
        <v>1798</v>
      </c>
      <c r="O82" s="235">
        <v>44671</v>
      </c>
    </row>
    <row r="83" spans="1:15" ht="90" x14ac:dyDescent="0.2">
      <c r="A83" s="227" t="s">
        <v>733</v>
      </c>
      <c r="B83" s="219">
        <v>3</v>
      </c>
      <c r="C83" s="219" t="s">
        <v>809</v>
      </c>
      <c r="D83" s="219">
        <v>3.1</v>
      </c>
      <c r="E83" s="219" t="s">
        <v>810</v>
      </c>
      <c r="F83" s="219" t="s">
        <v>720</v>
      </c>
      <c r="G83" s="219">
        <v>4</v>
      </c>
      <c r="H83" s="219" t="s">
        <v>815</v>
      </c>
      <c r="I83" s="206" t="s">
        <v>1289</v>
      </c>
      <c r="J83" s="206" t="s">
        <v>1798</v>
      </c>
      <c r="O83" s="235">
        <v>44671</v>
      </c>
    </row>
    <row r="84" spans="1:15" ht="75" x14ac:dyDescent="0.2">
      <c r="A84" s="227" t="s">
        <v>733</v>
      </c>
      <c r="B84" s="219">
        <v>3</v>
      </c>
      <c r="C84" s="219" t="s">
        <v>809</v>
      </c>
      <c r="D84" s="219">
        <v>3.1</v>
      </c>
      <c r="E84" s="219" t="s">
        <v>810</v>
      </c>
      <c r="F84" s="219" t="s">
        <v>720</v>
      </c>
      <c r="G84" s="219">
        <v>5</v>
      </c>
      <c r="H84" s="219" t="s">
        <v>816</v>
      </c>
      <c r="I84" s="206" t="s">
        <v>1289</v>
      </c>
      <c r="J84" s="206" t="s">
        <v>1799</v>
      </c>
      <c r="O84" s="235">
        <v>44671</v>
      </c>
    </row>
    <row r="85" spans="1:15" ht="22.9" customHeight="1" thickBot="1" x14ac:dyDescent="0.25">
      <c r="A85" s="227" t="s">
        <v>733</v>
      </c>
      <c r="B85" s="220">
        <v>3</v>
      </c>
      <c r="C85" s="220" t="s">
        <v>809</v>
      </c>
      <c r="D85" s="220">
        <v>3.1</v>
      </c>
      <c r="E85" s="220" t="s">
        <v>810</v>
      </c>
      <c r="F85" s="220" t="s">
        <v>718</v>
      </c>
      <c r="G85" s="220" t="s">
        <v>811</v>
      </c>
      <c r="H85" s="220"/>
      <c r="I85" s="206" t="s">
        <v>1300</v>
      </c>
      <c r="O85" s="235">
        <v>44671</v>
      </c>
    </row>
    <row r="86" spans="1:15" ht="25.15" customHeight="1" thickBot="1" x14ac:dyDescent="0.25">
      <c r="A86" s="222" t="s">
        <v>733</v>
      </c>
      <c r="B86" s="223">
        <v>3</v>
      </c>
      <c r="C86" s="223" t="s">
        <v>809</v>
      </c>
      <c r="D86" s="223">
        <v>3.1</v>
      </c>
      <c r="E86" s="223" t="s">
        <v>810</v>
      </c>
      <c r="F86" s="223" t="s">
        <v>1282</v>
      </c>
      <c r="G86" s="223">
        <v>5</v>
      </c>
      <c r="H86" s="223" t="s">
        <v>718</v>
      </c>
      <c r="I86" s="225"/>
      <c r="O86" s="235">
        <v>44671</v>
      </c>
    </row>
    <row r="87" spans="1:15" ht="25.15" customHeight="1" x14ac:dyDescent="0.2">
      <c r="A87" s="227" t="s">
        <v>733</v>
      </c>
      <c r="B87" s="221">
        <v>3</v>
      </c>
      <c r="C87" s="221" t="s">
        <v>809</v>
      </c>
      <c r="D87" s="221">
        <v>3.2</v>
      </c>
      <c r="E87" s="221" t="s">
        <v>817</v>
      </c>
      <c r="F87" s="221" t="s">
        <v>722</v>
      </c>
      <c r="G87" s="221" t="s">
        <v>811</v>
      </c>
      <c r="H87" s="221"/>
      <c r="I87" s="206" t="s">
        <v>1300</v>
      </c>
      <c r="O87" s="235">
        <v>44671</v>
      </c>
    </row>
    <row r="88" spans="1:15" ht="105" x14ac:dyDescent="0.2">
      <c r="A88" s="227" t="s">
        <v>733</v>
      </c>
      <c r="B88" s="219">
        <v>3</v>
      </c>
      <c r="C88" s="219" t="s">
        <v>809</v>
      </c>
      <c r="D88" s="219">
        <v>3.2</v>
      </c>
      <c r="E88" s="219" t="s">
        <v>817</v>
      </c>
      <c r="F88" s="219" t="s">
        <v>720</v>
      </c>
      <c r="G88" s="219">
        <v>1</v>
      </c>
      <c r="H88" s="219" t="s">
        <v>818</v>
      </c>
      <c r="I88" s="206" t="s">
        <v>1289</v>
      </c>
      <c r="J88" s="206" t="s">
        <v>1800</v>
      </c>
      <c r="O88" s="235">
        <v>44671</v>
      </c>
    </row>
    <row r="89" spans="1:15" ht="120" x14ac:dyDescent="0.2">
      <c r="A89" s="227" t="s">
        <v>733</v>
      </c>
      <c r="B89" s="219">
        <v>3</v>
      </c>
      <c r="C89" s="219" t="s">
        <v>809</v>
      </c>
      <c r="D89" s="219">
        <v>3.2</v>
      </c>
      <c r="E89" s="219" t="s">
        <v>817</v>
      </c>
      <c r="F89" s="219" t="s">
        <v>720</v>
      </c>
      <c r="G89" s="219">
        <v>2</v>
      </c>
      <c r="H89" s="219" t="s">
        <v>819</v>
      </c>
      <c r="I89" s="206" t="s">
        <v>1289</v>
      </c>
      <c r="J89" s="206" t="s">
        <v>1800</v>
      </c>
      <c r="O89" s="235">
        <v>44671</v>
      </c>
    </row>
    <row r="90" spans="1:15" ht="45.75" thickBot="1" x14ac:dyDescent="0.25">
      <c r="A90" s="227" t="s">
        <v>733</v>
      </c>
      <c r="B90" s="220">
        <v>3</v>
      </c>
      <c r="C90" s="220" t="s">
        <v>809</v>
      </c>
      <c r="D90" s="220">
        <v>3.2</v>
      </c>
      <c r="E90" s="220" t="s">
        <v>817</v>
      </c>
      <c r="F90" s="220" t="s">
        <v>718</v>
      </c>
      <c r="G90" s="220">
        <v>1</v>
      </c>
      <c r="H90" s="220" t="s">
        <v>820</v>
      </c>
      <c r="I90" s="206" t="s">
        <v>1289</v>
      </c>
      <c r="J90" s="206" t="s">
        <v>1801</v>
      </c>
      <c r="O90" s="235">
        <v>44671</v>
      </c>
    </row>
    <row r="91" spans="1:15" ht="39.4" customHeight="1" thickBot="1" x14ac:dyDescent="0.25">
      <c r="A91" s="222" t="s">
        <v>733</v>
      </c>
      <c r="B91" s="223">
        <v>3</v>
      </c>
      <c r="C91" s="223" t="s">
        <v>809</v>
      </c>
      <c r="D91" s="223">
        <v>3.2</v>
      </c>
      <c r="E91" s="223" t="s">
        <v>817</v>
      </c>
      <c r="F91" s="223" t="s">
        <v>1282</v>
      </c>
      <c r="G91" s="223">
        <v>5</v>
      </c>
      <c r="H91" s="223" t="s">
        <v>718</v>
      </c>
      <c r="I91" s="225"/>
      <c r="O91" s="235">
        <v>44671</v>
      </c>
    </row>
    <row r="92" spans="1:15" x14ac:dyDescent="0.2">
      <c r="A92" s="227" t="s">
        <v>733</v>
      </c>
      <c r="B92" s="221">
        <v>3</v>
      </c>
      <c r="C92" s="221" t="s">
        <v>809</v>
      </c>
      <c r="D92" s="221">
        <v>3.3</v>
      </c>
      <c r="E92" s="221" t="s">
        <v>821</v>
      </c>
      <c r="F92" s="221" t="s">
        <v>722</v>
      </c>
      <c r="G92" s="221" t="s">
        <v>811</v>
      </c>
      <c r="H92" s="221"/>
      <c r="I92" s="206" t="s">
        <v>1300</v>
      </c>
      <c r="O92" s="235">
        <v>44671</v>
      </c>
    </row>
    <row r="93" spans="1:15" x14ac:dyDescent="0.2">
      <c r="A93" s="227" t="s">
        <v>733</v>
      </c>
      <c r="B93" s="219">
        <v>3</v>
      </c>
      <c r="C93" s="219" t="s">
        <v>809</v>
      </c>
      <c r="D93" s="219">
        <v>3.3</v>
      </c>
      <c r="E93" s="219" t="s">
        <v>821</v>
      </c>
      <c r="F93" s="219" t="s">
        <v>720</v>
      </c>
      <c r="G93" s="219" t="s">
        <v>811</v>
      </c>
      <c r="H93" s="219"/>
      <c r="I93" s="206" t="s">
        <v>1300</v>
      </c>
      <c r="O93" s="235">
        <v>44671</v>
      </c>
    </row>
    <row r="94" spans="1:15" ht="60" x14ac:dyDescent="0.2">
      <c r="A94" s="227" t="s">
        <v>733</v>
      </c>
      <c r="B94" s="220">
        <v>3</v>
      </c>
      <c r="C94" s="220" t="s">
        <v>809</v>
      </c>
      <c r="D94" s="220">
        <v>3.3</v>
      </c>
      <c r="E94" s="220" t="s">
        <v>821</v>
      </c>
      <c r="F94" s="220" t="s">
        <v>718</v>
      </c>
      <c r="G94" s="220">
        <v>1</v>
      </c>
      <c r="H94" s="220" t="s">
        <v>822</v>
      </c>
      <c r="I94" s="206" t="s">
        <v>1289</v>
      </c>
      <c r="J94" s="206" t="s">
        <v>1315</v>
      </c>
      <c r="O94" s="235">
        <v>44671</v>
      </c>
    </row>
    <row r="95" spans="1:15" ht="45" x14ac:dyDescent="0.2">
      <c r="A95" s="227" t="s">
        <v>733</v>
      </c>
      <c r="B95" s="220">
        <v>3</v>
      </c>
      <c r="C95" s="220" t="s">
        <v>809</v>
      </c>
      <c r="D95" s="220">
        <v>3.3</v>
      </c>
      <c r="E95" s="220" t="s">
        <v>821</v>
      </c>
      <c r="F95" s="220" t="s">
        <v>718</v>
      </c>
      <c r="G95" s="220">
        <v>2</v>
      </c>
      <c r="H95" s="220" t="s">
        <v>823</v>
      </c>
      <c r="I95" s="206" t="s">
        <v>1289</v>
      </c>
      <c r="J95" s="206" t="s">
        <v>1315</v>
      </c>
      <c r="O95" s="235">
        <v>44671</v>
      </c>
    </row>
    <row r="96" spans="1:15" ht="60" x14ac:dyDescent="0.2">
      <c r="A96" s="227" t="s">
        <v>733</v>
      </c>
      <c r="B96" s="220">
        <v>3</v>
      </c>
      <c r="C96" s="220" t="s">
        <v>809</v>
      </c>
      <c r="D96" s="220">
        <v>3.3</v>
      </c>
      <c r="E96" s="220" t="s">
        <v>821</v>
      </c>
      <c r="F96" s="220" t="s">
        <v>718</v>
      </c>
      <c r="G96" s="220">
        <v>3</v>
      </c>
      <c r="H96" s="220" t="s">
        <v>824</v>
      </c>
      <c r="I96" s="206" t="s">
        <v>1289</v>
      </c>
      <c r="J96" s="206" t="s">
        <v>1802</v>
      </c>
      <c r="O96" s="235">
        <v>44671</v>
      </c>
    </row>
    <row r="97" spans="1:15" ht="45" x14ac:dyDescent="0.2">
      <c r="A97" s="227" t="s">
        <v>733</v>
      </c>
      <c r="B97" s="220">
        <v>3</v>
      </c>
      <c r="C97" s="220" t="s">
        <v>809</v>
      </c>
      <c r="D97" s="220">
        <v>3.3</v>
      </c>
      <c r="E97" s="220" t="s">
        <v>821</v>
      </c>
      <c r="F97" s="220" t="s">
        <v>718</v>
      </c>
      <c r="G97" s="220">
        <v>4</v>
      </c>
      <c r="H97" s="220" t="s">
        <v>825</v>
      </c>
      <c r="I97" s="206" t="s">
        <v>1289</v>
      </c>
      <c r="J97" s="206" t="s">
        <v>1316</v>
      </c>
      <c r="O97" s="235">
        <v>44671</v>
      </c>
    </row>
    <row r="98" spans="1:15" ht="105" x14ac:dyDescent="0.2">
      <c r="A98" s="227" t="s">
        <v>733</v>
      </c>
      <c r="B98" s="220">
        <v>3</v>
      </c>
      <c r="C98" s="220" t="s">
        <v>809</v>
      </c>
      <c r="D98" s="220">
        <v>3.3</v>
      </c>
      <c r="E98" s="220" t="s">
        <v>821</v>
      </c>
      <c r="F98" s="220" t="s">
        <v>718</v>
      </c>
      <c r="G98" s="220">
        <v>5</v>
      </c>
      <c r="H98" s="220" t="s">
        <v>826</v>
      </c>
      <c r="I98" s="206" t="s">
        <v>737</v>
      </c>
      <c r="J98" s="206" t="s">
        <v>1288</v>
      </c>
      <c r="O98" s="235">
        <v>44671</v>
      </c>
    </row>
    <row r="99" spans="1:15" ht="60.75" thickBot="1" x14ac:dyDescent="0.25">
      <c r="A99" s="227" t="s">
        <v>733</v>
      </c>
      <c r="B99" s="220">
        <v>3</v>
      </c>
      <c r="C99" s="220" t="s">
        <v>809</v>
      </c>
      <c r="D99" s="220">
        <v>3.3</v>
      </c>
      <c r="E99" s="220" t="s">
        <v>821</v>
      </c>
      <c r="F99" s="220" t="s">
        <v>718</v>
      </c>
      <c r="G99" s="220">
        <v>6</v>
      </c>
      <c r="H99" s="220" t="s">
        <v>827</v>
      </c>
      <c r="I99" s="206" t="s">
        <v>1289</v>
      </c>
      <c r="J99" s="206" t="s">
        <v>1317</v>
      </c>
      <c r="O99" s="235">
        <v>44671</v>
      </c>
    </row>
    <row r="100" spans="1:15" ht="25.5" customHeight="1" thickBot="1" x14ac:dyDescent="0.25">
      <c r="A100" s="222" t="s">
        <v>733</v>
      </c>
      <c r="B100" s="223">
        <v>3</v>
      </c>
      <c r="C100" s="223" t="s">
        <v>809</v>
      </c>
      <c r="D100" s="223">
        <v>3.3</v>
      </c>
      <c r="E100" s="223" t="s">
        <v>821</v>
      </c>
      <c r="F100" s="223" t="s">
        <v>1282</v>
      </c>
      <c r="G100" s="223">
        <v>4</v>
      </c>
      <c r="H100" s="223" t="s">
        <v>719</v>
      </c>
      <c r="I100" s="225"/>
      <c r="O100" s="235">
        <v>44671</v>
      </c>
    </row>
    <row r="101" spans="1:15" x14ac:dyDescent="0.2">
      <c r="A101" s="227" t="s">
        <v>733</v>
      </c>
      <c r="B101" s="221">
        <v>3</v>
      </c>
      <c r="C101" s="221" t="s">
        <v>809</v>
      </c>
      <c r="D101" s="221">
        <v>3.4</v>
      </c>
      <c r="E101" s="221" t="s">
        <v>828</v>
      </c>
      <c r="F101" s="221" t="s">
        <v>722</v>
      </c>
      <c r="G101" s="221" t="s">
        <v>811</v>
      </c>
      <c r="H101" s="221"/>
      <c r="I101" s="206" t="s">
        <v>1300</v>
      </c>
      <c r="O101" s="235">
        <v>44671</v>
      </c>
    </row>
    <row r="102" spans="1:15" ht="76.150000000000006" customHeight="1" x14ac:dyDescent="0.2">
      <c r="A102" s="227" t="s">
        <v>733</v>
      </c>
      <c r="B102" s="219">
        <v>3</v>
      </c>
      <c r="C102" s="219" t="s">
        <v>809</v>
      </c>
      <c r="D102" s="219">
        <v>3.4</v>
      </c>
      <c r="E102" s="219" t="s">
        <v>828</v>
      </c>
      <c r="F102" s="219" t="s">
        <v>720</v>
      </c>
      <c r="G102" s="219">
        <v>1</v>
      </c>
      <c r="H102" s="219" t="s">
        <v>829</v>
      </c>
      <c r="I102" s="206" t="s">
        <v>1289</v>
      </c>
      <c r="J102" s="206" t="s">
        <v>1798</v>
      </c>
      <c r="O102" s="235">
        <v>44671</v>
      </c>
    </row>
    <row r="103" spans="1:15" ht="118.9" customHeight="1" x14ac:dyDescent="0.2">
      <c r="A103" s="227" t="s">
        <v>733</v>
      </c>
      <c r="B103" s="220">
        <v>3</v>
      </c>
      <c r="C103" s="220" t="s">
        <v>809</v>
      </c>
      <c r="D103" s="220">
        <v>3.4</v>
      </c>
      <c r="E103" s="220" t="s">
        <v>828</v>
      </c>
      <c r="F103" s="220" t="s">
        <v>718</v>
      </c>
      <c r="G103" s="220">
        <v>1</v>
      </c>
      <c r="H103" s="220" t="s">
        <v>830</v>
      </c>
      <c r="I103" s="206" t="s">
        <v>1289</v>
      </c>
      <c r="J103" s="206" t="s">
        <v>1798</v>
      </c>
      <c r="O103" s="235">
        <v>44671</v>
      </c>
    </row>
    <row r="104" spans="1:15" ht="73.900000000000006" customHeight="1" x14ac:dyDescent="0.2">
      <c r="A104" s="227" t="s">
        <v>733</v>
      </c>
      <c r="B104" s="220">
        <v>3</v>
      </c>
      <c r="C104" s="220" t="s">
        <v>809</v>
      </c>
      <c r="D104" s="220">
        <v>3.4</v>
      </c>
      <c r="E104" s="220" t="s">
        <v>828</v>
      </c>
      <c r="F104" s="220" t="s">
        <v>718</v>
      </c>
      <c r="G104" s="220">
        <v>2</v>
      </c>
      <c r="H104" s="220" t="s">
        <v>831</v>
      </c>
      <c r="I104" s="206" t="s">
        <v>1289</v>
      </c>
      <c r="J104" s="206" t="s">
        <v>1798</v>
      </c>
      <c r="O104" s="235">
        <v>44671</v>
      </c>
    </row>
    <row r="105" spans="1:15" ht="120.75" thickBot="1" x14ac:dyDescent="0.25">
      <c r="A105" s="227" t="s">
        <v>733</v>
      </c>
      <c r="B105" s="220">
        <v>3</v>
      </c>
      <c r="C105" s="220" t="s">
        <v>809</v>
      </c>
      <c r="D105" s="220">
        <v>3.4</v>
      </c>
      <c r="E105" s="220" t="s">
        <v>828</v>
      </c>
      <c r="F105" s="220" t="s">
        <v>718</v>
      </c>
      <c r="G105" s="220">
        <v>3</v>
      </c>
      <c r="H105" s="220" t="s">
        <v>441</v>
      </c>
      <c r="I105" s="206" t="s">
        <v>1289</v>
      </c>
      <c r="J105" s="206" t="s">
        <v>1798</v>
      </c>
      <c r="O105" s="235">
        <v>44671</v>
      </c>
    </row>
    <row r="106" spans="1:15" ht="28.5" customHeight="1" thickBot="1" x14ac:dyDescent="0.25">
      <c r="A106" s="222" t="s">
        <v>733</v>
      </c>
      <c r="B106" s="223">
        <v>3</v>
      </c>
      <c r="C106" s="223" t="s">
        <v>809</v>
      </c>
      <c r="D106" s="223">
        <v>3.4</v>
      </c>
      <c r="E106" s="223" t="s">
        <v>828</v>
      </c>
      <c r="F106" s="223" t="s">
        <v>1282</v>
      </c>
      <c r="G106" s="223">
        <v>5</v>
      </c>
      <c r="H106" s="223" t="s">
        <v>718</v>
      </c>
      <c r="I106" s="225"/>
      <c r="O106" s="235">
        <v>44671</v>
      </c>
    </row>
    <row r="107" spans="1:15" x14ac:dyDescent="0.2">
      <c r="A107" s="227" t="s">
        <v>733</v>
      </c>
      <c r="B107" s="221">
        <v>4</v>
      </c>
      <c r="C107" s="221" t="s">
        <v>203</v>
      </c>
      <c r="D107" s="221">
        <v>4.0999999999999996</v>
      </c>
      <c r="E107" s="221" t="s">
        <v>832</v>
      </c>
      <c r="F107" s="221" t="s">
        <v>722</v>
      </c>
      <c r="G107" s="221" t="s">
        <v>811</v>
      </c>
      <c r="H107" s="221"/>
      <c r="I107" s="206" t="s">
        <v>1300</v>
      </c>
      <c r="O107" s="235">
        <v>44671</v>
      </c>
    </row>
    <row r="108" spans="1:15" ht="60" x14ac:dyDescent="0.2">
      <c r="A108" s="227" t="s">
        <v>733</v>
      </c>
      <c r="B108" s="219">
        <v>4</v>
      </c>
      <c r="C108" s="219" t="s">
        <v>203</v>
      </c>
      <c r="D108" s="219">
        <v>4.0999999999999996</v>
      </c>
      <c r="E108" s="219" t="s">
        <v>832</v>
      </c>
      <c r="F108" s="219" t="s">
        <v>720</v>
      </c>
      <c r="G108" s="219">
        <v>1</v>
      </c>
      <c r="H108" s="219" t="s">
        <v>833</v>
      </c>
      <c r="I108" s="206" t="s">
        <v>1289</v>
      </c>
      <c r="J108" s="206" t="s">
        <v>1318</v>
      </c>
      <c r="O108" s="235">
        <v>44671</v>
      </c>
    </row>
    <row r="109" spans="1:15" ht="45" x14ac:dyDescent="0.2">
      <c r="A109" s="227" t="s">
        <v>733</v>
      </c>
      <c r="B109" s="219">
        <v>4</v>
      </c>
      <c r="C109" s="219" t="s">
        <v>203</v>
      </c>
      <c r="D109" s="219">
        <v>4.0999999999999996</v>
      </c>
      <c r="E109" s="219" t="s">
        <v>832</v>
      </c>
      <c r="F109" s="219" t="s">
        <v>720</v>
      </c>
      <c r="G109" s="219">
        <v>2</v>
      </c>
      <c r="H109" s="219" t="s">
        <v>834</v>
      </c>
      <c r="I109" s="206" t="s">
        <v>1289</v>
      </c>
      <c r="J109" s="206" t="s">
        <v>1319</v>
      </c>
      <c r="O109" s="235">
        <v>44671</v>
      </c>
    </row>
    <row r="110" spans="1:15" ht="58.15" customHeight="1" x14ac:dyDescent="0.2">
      <c r="A110" s="227" t="s">
        <v>733</v>
      </c>
      <c r="B110" s="219">
        <v>4</v>
      </c>
      <c r="C110" s="219" t="s">
        <v>203</v>
      </c>
      <c r="D110" s="219">
        <v>4.0999999999999996</v>
      </c>
      <c r="E110" s="219" t="s">
        <v>832</v>
      </c>
      <c r="F110" s="219" t="s">
        <v>720</v>
      </c>
      <c r="G110" s="219" t="s">
        <v>770</v>
      </c>
      <c r="H110" s="219" t="s">
        <v>835</v>
      </c>
      <c r="I110" s="206" t="s">
        <v>1300</v>
      </c>
      <c r="J110" s="206" t="s">
        <v>1320</v>
      </c>
      <c r="O110" s="235">
        <v>44671</v>
      </c>
    </row>
    <row r="111" spans="1:15" ht="45" x14ac:dyDescent="0.2">
      <c r="A111" s="227" t="s">
        <v>733</v>
      </c>
      <c r="B111" s="220">
        <v>4</v>
      </c>
      <c r="C111" s="220" t="s">
        <v>203</v>
      </c>
      <c r="D111" s="220">
        <v>4.0999999999999996</v>
      </c>
      <c r="E111" s="220" t="s">
        <v>832</v>
      </c>
      <c r="F111" s="220" t="s">
        <v>718</v>
      </c>
      <c r="G111" s="220">
        <v>1</v>
      </c>
      <c r="H111" s="220" t="s">
        <v>836</v>
      </c>
      <c r="I111" s="206" t="s">
        <v>1289</v>
      </c>
      <c r="J111" s="206" t="s">
        <v>1321</v>
      </c>
      <c r="O111" s="235">
        <v>44671</v>
      </c>
    </row>
    <row r="112" spans="1:15" ht="60" x14ac:dyDescent="0.2">
      <c r="A112" s="227" t="s">
        <v>733</v>
      </c>
      <c r="B112" s="220">
        <v>4</v>
      </c>
      <c r="C112" s="220" t="s">
        <v>203</v>
      </c>
      <c r="D112" s="220">
        <v>4.0999999999999996</v>
      </c>
      <c r="E112" s="220" t="s">
        <v>832</v>
      </c>
      <c r="F112" s="220" t="s">
        <v>718</v>
      </c>
      <c r="G112" s="220">
        <v>2</v>
      </c>
      <c r="H112" s="220" t="s">
        <v>837</v>
      </c>
      <c r="I112" s="206" t="s">
        <v>1289</v>
      </c>
      <c r="J112" s="206" t="s">
        <v>1322</v>
      </c>
      <c r="O112" s="235">
        <v>44671</v>
      </c>
    </row>
    <row r="113" spans="1:15" ht="90" x14ac:dyDescent="0.2">
      <c r="A113" s="227" t="s">
        <v>733</v>
      </c>
      <c r="B113" s="220">
        <v>4</v>
      </c>
      <c r="C113" s="220" t="s">
        <v>203</v>
      </c>
      <c r="D113" s="220">
        <v>4.0999999999999996</v>
      </c>
      <c r="E113" s="220" t="s">
        <v>832</v>
      </c>
      <c r="F113" s="220" t="s">
        <v>718</v>
      </c>
      <c r="G113" s="220">
        <v>3</v>
      </c>
      <c r="H113" s="220" t="s">
        <v>302</v>
      </c>
      <c r="I113" s="206" t="s">
        <v>1289</v>
      </c>
      <c r="J113" s="206" t="s">
        <v>1323</v>
      </c>
      <c r="O113" s="235">
        <v>44671</v>
      </c>
    </row>
    <row r="114" spans="1:15" ht="45" x14ac:dyDescent="0.2">
      <c r="A114" s="227" t="s">
        <v>733</v>
      </c>
      <c r="B114" s="220">
        <v>4</v>
      </c>
      <c r="C114" s="220" t="s">
        <v>203</v>
      </c>
      <c r="D114" s="220">
        <v>4.0999999999999996</v>
      </c>
      <c r="E114" s="220" t="s">
        <v>832</v>
      </c>
      <c r="F114" s="220" t="s">
        <v>718</v>
      </c>
      <c r="G114" s="220">
        <v>4</v>
      </c>
      <c r="H114" s="220" t="s">
        <v>838</v>
      </c>
      <c r="I114" s="206" t="s">
        <v>737</v>
      </c>
      <c r="J114" s="206" t="s">
        <v>1803</v>
      </c>
      <c r="K114" s="206" t="s">
        <v>1804</v>
      </c>
      <c r="L114" s="206" t="s">
        <v>1795</v>
      </c>
      <c r="O114" s="235">
        <v>44671</v>
      </c>
    </row>
    <row r="115" spans="1:15" ht="30" x14ac:dyDescent="0.2">
      <c r="A115" s="227" t="s">
        <v>733</v>
      </c>
      <c r="B115" s="220">
        <v>4</v>
      </c>
      <c r="C115" s="220" t="s">
        <v>203</v>
      </c>
      <c r="D115" s="220">
        <v>4.0999999999999996</v>
      </c>
      <c r="E115" s="220" t="s">
        <v>832</v>
      </c>
      <c r="F115" s="220" t="s">
        <v>718</v>
      </c>
      <c r="G115" s="220">
        <v>5</v>
      </c>
      <c r="H115" s="220" t="s">
        <v>839</v>
      </c>
      <c r="I115" s="206" t="s">
        <v>1289</v>
      </c>
      <c r="J115" s="206" t="s">
        <v>1324</v>
      </c>
      <c r="O115" s="235">
        <v>44671</v>
      </c>
    </row>
    <row r="116" spans="1:15" ht="60" x14ac:dyDescent="0.2">
      <c r="A116" s="227" t="s">
        <v>733</v>
      </c>
      <c r="B116" s="220">
        <v>4</v>
      </c>
      <c r="C116" s="220" t="s">
        <v>203</v>
      </c>
      <c r="D116" s="220">
        <v>4.0999999999999996</v>
      </c>
      <c r="E116" s="220" t="s">
        <v>832</v>
      </c>
      <c r="F116" s="220" t="s">
        <v>718</v>
      </c>
      <c r="G116" s="220">
        <v>6</v>
      </c>
      <c r="H116" s="220" t="s">
        <v>840</v>
      </c>
      <c r="I116" s="206" t="s">
        <v>737</v>
      </c>
      <c r="J116" s="206" t="s">
        <v>1805</v>
      </c>
      <c r="K116" s="206" t="s">
        <v>1806</v>
      </c>
      <c r="L116" s="206" t="s">
        <v>1795</v>
      </c>
      <c r="O116" s="235">
        <v>44671</v>
      </c>
    </row>
    <row r="117" spans="1:15" ht="30.75" thickBot="1" x14ac:dyDescent="0.25">
      <c r="A117" s="227" t="s">
        <v>733</v>
      </c>
      <c r="B117" s="220">
        <v>4</v>
      </c>
      <c r="C117" s="220" t="s">
        <v>203</v>
      </c>
      <c r="D117" s="220">
        <v>4.0999999999999996</v>
      </c>
      <c r="E117" s="220" t="s">
        <v>832</v>
      </c>
      <c r="F117" s="220" t="s">
        <v>718</v>
      </c>
      <c r="G117" s="220">
        <v>7</v>
      </c>
      <c r="H117" s="220" t="s">
        <v>841</v>
      </c>
      <c r="I117" s="206" t="s">
        <v>1289</v>
      </c>
      <c r="J117" s="206" t="s">
        <v>1325</v>
      </c>
      <c r="O117" s="235">
        <v>44671</v>
      </c>
    </row>
    <row r="118" spans="1:15" ht="24.4" customHeight="1" thickBot="1" x14ac:dyDescent="0.25">
      <c r="A118" s="222" t="s">
        <v>733</v>
      </c>
      <c r="B118" s="223">
        <v>4</v>
      </c>
      <c r="C118" s="223" t="s">
        <v>203</v>
      </c>
      <c r="D118" s="223">
        <v>4.0999999999999996</v>
      </c>
      <c r="E118" s="223" t="s">
        <v>832</v>
      </c>
      <c r="F118" s="223" t="s">
        <v>1282</v>
      </c>
      <c r="G118" s="223">
        <v>4</v>
      </c>
      <c r="H118" s="223" t="s">
        <v>719</v>
      </c>
      <c r="I118" s="225"/>
      <c r="O118" s="235">
        <v>44671</v>
      </c>
    </row>
    <row r="119" spans="1:15" ht="22.9" customHeight="1" x14ac:dyDescent="0.2">
      <c r="A119" s="227" t="s">
        <v>733</v>
      </c>
      <c r="B119" s="221">
        <v>4</v>
      </c>
      <c r="C119" s="221" t="s">
        <v>203</v>
      </c>
      <c r="D119" s="221">
        <v>4.2</v>
      </c>
      <c r="E119" s="221" t="s">
        <v>842</v>
      </c>
      <c r="F119" s="221" t="s">
        <v>722</v>
      </c>
      <c r="G119" s="221">
        <v>1</v>
      </c>
      <c r="H119" s="221" t="s">
        <v>843</v>
      </c>
      <c r="I119" s="206" t="s">
        <v>1289</v>
      </c>
      <c r="J119" s="206" t="s">
        <v>1326</v>
      </c>
      <c r="O119" s="235">
        <v>44671</v>
      </c>
    </row>
    <row r="120" spans="1:15" ht="135" x14ac:dyDescent="0.2">
      <c r="A120" s="227" t="s">
        <v>733</v>
      </c>
      <c r="B120" s="221">
        <v>4</v>
      </c>
      <c r="C120" s="221" t="s">
        <v>203</v>
      </c>
      <c r="D120" s="221">
        <v>4.2</v>
      </c>
      <c r="E120" s="221" t="s">
        <v>842</v>
      </c>
      <c r="F120" s="221" t="s">
        <v>722</v>
      </c>
      <c r="G120" s="221">
        <v>2</v>
      </c>
      <c r="H120" s="221" t="s">
        <v>844</v>
      </c>
      <c r="I120" s="206" t="s">
        <v>1289</v>
      </c>
      <c r="J120" s="206" t="s">
        <v>1327</v>
      </c>
      <c r="O120" s="235">
        <v>44671</v>
      </c>
    </row>
    <row r="121" spans="1:15" ht="45" x14ac:dyDescent="0.2">
      <c r="A121" s="227" t="s">
        <v>733</v>
      </c>
      <c r="B121" s="219">
        <v>4</v>
      </c>
      <c r="C121" s="219" t="s">
        <v>203</v>
      </c>
      <c r="D121" s="219">
        <v>4.2</v>
      </c>
      <c r="E121" s="219" t="s">
        <v>842</v>
      </c>
      <c r="F121" s="219" t="s">
        <v>720</v>
      </c>
      <c r="G121" s="219">
        <v>1</v>
      </c>
      <c r="H121" s="219" t="s">
        <v>845</v>
      </c>
      <c r="I121" s="206" t="s">
        <v>1289</v>
      </c>
      <c r="J121" s="206" t="s">
        <v>1328</v>
      </c>
      <c r="O121" s="235">
        <v>44671</v>
      </c>
    </row>
    <row r="122" spans="1:15" ht="45" x14ac:dyDescent="0.2">
      <c r="A122" s="227" t="s">
        <v>733</v>
      </c>
      <c r="B122" s="219">
        <v>4</v>
      </c>
      <c r="C122" s="219" t="s">
        <v>203</v>
      </c>
      <c r="D122" s="219">
        <v>4.2</v>
      </c>
      <c r="E122" s="219" t="s">
        <v>842</v>
      </c>
      <c r="F122" s="219" t="s">
        <v>720</v>
      </c>
      <c r="G122" s="219">
        <v>2</v>
      </c>
      <c r="H122" s="219" t="s">
        <v>846</v>
      </c>
      <c r="I122" s="206" t="s">
        <v>1289</v>
      </c>
      <c r="J122" s="206" t="s">
        <v>1329</v>
      </c>
      <c r="O122" s="235">
        <v>44671</v>
      </c>
    </row>
    <row r="123" spans="1:15" ht="45.75" thickBot="1" x14ac:dyDescent="0.25">
      <c r="A123" s="227" t="s">
        <v>733</v>
      </c>
      <c r="B123" s="220">
        <v>4</v>
      </c>
      <c r="C123" s="220" t="s">
        <v>203</v>
      </c>
      <c r="D123" s="220">
        <v>4.2</v>
      </c>
      <c r="E123" s="220" t="s">
        <v>842</v>
      </c>
      <c r="F123" s="220" t="s">
        <v>718</v>
      </c>
      <c r="G123" s="220">
        <v>1</v>
      </c>
      <c r="H123" s="220" t="s">
        <v>847</v>
      </c>
      <c r="I123" s="206" t="s">
        <v>1289</v>
      </c>
      <c r="J123" s="206" t="s">
        <v>1330</v>
      </c>
      <c r="O123" s="235">
        <v>44671</v>
      </c>
    </row>
    <row r="124" spans="1:15" ht="30" customHeight="1" thickBot="1" x14ac:dyDescent="0.25">
      <c r="A124" s="222" t="s">
        <v>733</v>
      </c>
      <c r="B124" s="223">
        <v>4</v>
      </c>
      <c r="C124" s="223" t="s">
        <v>203</v>
      </c>
      <c r="D124" s="223">
        <v>4.2</v>
      </c>
      <c r="E124" s="223" t="s">
        <v>842</v>
      </c>
      <c r="F124" s="223" t="s">
        <v>1282</v>
      </c>
      <c r="G124" s="223">
        <v>5</v>
      </c>
      <c r="H124" s="223" t="s">
        <v>718</v>
      </c>
      <c r="I124" s="225"/>
      <c r="O124" s="235">
        <v>44671</v>
      </c>
    </row>
    <row r="125" spans="1:15" ht="30" x14ac:dyDescent="0.2">
      <c r="A125" s="227" t="s">
        <v>733</v>
      </c>
      <c r="B125" s="221">
        <v>4</v>
      </c>
      <c r="C125" s="221" t="s">
        <v>203</v>
      </c>
      <c r="D125" s="221">
        <v>4.3</v>
      </c>
      <c r="E125" s="221" t="s">
        <v>848</v>
      </c>
      <c r="F125" s="221" t="s">
        <v>722</v>
      </c>
      <c r="G125" s="221" t="s">
        <v>811</v>
      </c>
      <c r="H125" s="221"/>
      <c r="I125" s="206" t="s">
        <v>1300</v>
      </c>
      <c r="O125" s="235">
        <v>44671</v>
      </c>
    </row>
    <row r="126" spans="1:15" ht="60" x14ac:dyDescent="0.2">
      <c r="A126" s="227" t="s">
        <v>733</v>
      </c>
      <c r="B126" s="219">
        <v>4</v>
      </c>
      <c r="C126" s="219" t="s">
        <v>203</v>
      </c>
      <c r="D126" s="219">
        <v>4.3</v>
      </c>
      <c r="E126" s="219" t="s">
        <v>848</v>
      </c>
      <c r="F126" s="219" t="s">
        <v>720</v>
      </c>
      <c r="G126" s="219">
        <v>1</v>
      </c>
      <c r="H126" s="219" t="s">
        <v>849</v>
      </c>
      <c r="I126" s="206" t="s">
        <v>1289</v>
      </c>
      <c r="J126" s="206" t="s">
        <v>1331</v>
      </c>
      <c r="O126" s="235">
        <v>44671</v>
      </c>
    </row>
    <row r="127" spans="1:15" ht="45" x14ac:dyDescent="0.2">
      <c r="A127" s="227" t="s">
        <v>733</v>
      </c>
      <c r="B127" s="220">
        <v>4</v>
      </c>
      <c r="C127" s="220" t="s">
        <v>203</v>
      </c>
      <c r="D127" s="220">
        <v>4.3</v>
      </c>
      <c r="E127" s="220" t="s">
        <v>848</v>
      </c>
      <c r="F127" s="220" t="s">
        <v>718</v>
      </c>
      <c r="G127" s="220">
        <v>1</v>
      </c>
      <c r="H127" s="220" t="s">
        <v>850</v>
      </c>
      <c r="I127" s="206" t="s">
        <v>1289</v>
      </c>
      <c r="J127" s="206" t="s">
        <v>1332</v>
      </c>
      <c r="O127" s="235">
        <v>44671</v>
      </c>
    </row>
    <row r="128" spans="1:15" ht="30" x14ac:dyDescent="0.2">
      <c r="A128" s="227" t="s">
        <v>733</v>
      </c>
      <c r="B128" s="220">
        <v>4</v>
      </c>
      <c r="C128" s="220" t="s">
        <v>203</v>
      </c>
      <c r="D128" s="220">
        <v>4.3</v>
      </c>
      <c r="E128" s="220" t="s">
        <v>848</v>
      </c>
      <c r="F128" s="220" t="s">
        <v>718</v>
      </c>
      <c r="G128" s="220">
        <v>2</v>
      </c>
      <c r="H128" s="220" t="s">
        <v>851</v>
      </c>
      <c r="I128" s="206" t="s">
        <v>1289</v>
      </c>
      <c r="J128" s="206" t="s">
        <v>1333</v>
      </c>
      <c r="O128" s="235">
        <v>44671</v>
      </c>
    </row>
    <row r="129" spans="1:15" ht="45" x14ac:dyDescent="0.2">
      <c r="A129" s="227" t="s">
        <v>733</v>
      </c>
      <c r="B129" s="220">
        <v>4</v>
      </c>
      <c r="C129" s="220" t="s">
        <v>203</v>
      </c>
      <c r="D129" s="220">
        <v>4.3</v>
      </c>
      <c r="E129" s="220" t="s">
        <v>848</v>
      </c>
      <c r="F129" s="220" t="s">
        <v>718</v>
      </c>
      <c r="G129" s="220">
        <v>3</v>
      </c>
      <c r="H129" s="220" t="s">
        <v>852</v>
      </c>
      <c r="I129" s="206" t="s">
        <v>1289</v>
      </c>
      <c r="J129" s="206" t="s">
        <v>1334</v>
      </c>
      <c r="O129" s="235">
        <v>44671</v>
      </c>
    </row>
    <row r="130" spans="1:15" ht="60.75" thickBot="1" x14ac:dyDescent="0.25">
      <c r="A130" s="227" t="s">
        <v>733</v>
      </c>
      <c r="B130" s="220">
        <v>4</v>
      </c>
      <c r="C130" s="220" t="s">
        <v>203</v>
      </c>
      <c r="D130" s="220">
        <v>4.3</v>
      </c>
      <c r="E130" s="220" t="s">
        <v>848</v>
      </c>
      <c r="F130" s="220" t="s">
        <v>718</v>
      </c>
      <c r="G130" s="220">
        <v>4</v>
      </c>
      <c r="H130" s="220" t="s">
        <v>853</v>
      </c>
      <c r="I130" s="206" t="s">
        <v>1289</v>
      </c>
      <c r="J130" s="206" t="s">
        <v>1334</v>
      </c>
      <c r="O130" s="235">
        <v>44671</v>
      </c>
    </row>
    <row r="131" spans="1:15" ht="25.15" customHeight="1" thickBot="1" x14ac:dyDescent="0.25">
      <c r="A131" s="222" t="s">
        <v>733</v>
      </c>
      <c r="B131" s="223">
        <v>4</v>
      </c>
      <c r="C131" s="223" t="s">
        <v>203</v>
      </c>
      <c r="D131" s="223">
        <v>4.3</v>
      </c>
      <c r="E131" s="223" t="s">
        <v>848</v>
      </c>
      <c r="F131" s="223" t="s">
        <v>1282</v>
      </c>
      <c r="G131" s="223">
        <v>5</v>
      </c>
      <c r="H131" s="223" t="s">
        <v>718</v>
      </c>
      <c r="I131" s="225"/>
      <c r="O131" s="235">
        <v>44671</v>
      </c>
    </row>
    <row r="132" spans="1:15" ht="30" x14ac:dyDescent="0.2">
      <c r="A132" s="228" t="s">
        <v>854</v>
      </c>
      <c r="B132" s="221">
        <v>5</v>
      </c>
      <c r="C132" s="221" t="s">
        <v>855</v>
      </c>
      <c r="D132" s="221">
        <v>5.0999999999999996</v>
      </c>
      <c r="E132" s="221" t="s">
        <v>856</v>
      </c>
      <c r="F132" s="221" t="s">
        <v>722</v>
      </c>
      <c r="G132" s="221" t="s">
        <v>811</v>
      </c>
      <c r="H132" s="221"/>
      <c r="I132" s="206" t="s">
        <v>1300</v>
      </c>
      <c r="O132" s="235">
        <v>44671</v>
      </c>
    </row>
    <row r="133" spans="1:15" ht="75" x14ac:dyDescent="0.2">
      <c r="A133" s="228" t="s">
        <v>854</v>
      </c>
      <c r="B133" s="219">
        <v>5</v>
      </c>
      <c r="C133" s="219" t="s">
        <v>855</v>
      </c>
      <c r="D133" s="219">
        <v>5.0999999999999996</v>
      </c>
      <c r="E133" s="219" t="s">
        <v>856</v>
      </c>
      <c r="F133" s="219" t="s">
        <v>720</v>
      </c>
      <c r="G133" s="219">
        <v>1</v>
      </c>
      <c r="H133" s="219" t="s">
        <v>857</v>
      </c>
      <c r="I133" s="206" t="s">
        <v>1289</v>
      </c>
      <c r="J133" s="206" t="s">
        <v>1785</v>
      </c>
      <c r="O133" s="235">
        <v>44671</v>
      </c>
    </row>
    <row r="134" spans="1:15" ht="48.6" customHeight="1" x14ac:dyDescent="0.2">
      <c r="A134" s="228" t="s">
        <v>854</v>
      </c>
      <c r="B134" s="219">
        <v>5</v>
      </c>
      <c r="C134" s="219" t="s">
        <v>855</v>
      </c>
      <c r="D134" s="219">
        <v>5.0999999999999996</v>
      </c>
      <c r="E134" s="219" t="s">
        <v>856</v>
      </c>
      <c r="F134" s="219" t="s">
        <v>720</v>
      </c>
      <c r="G134" s="219">
        <v>2</v>
      </c>
      <c r="H134" s="219" t="s">
        <v>858</v>
      </c>
      <c r="I134" s="206" t="s">
        <v>1289</v>
      </c>
      <c r="J134" s="206" t="s">
        <v>1785</v>
      </c>
      <c r="O134" s="235">
        <v>44671</v>
      </c>
    </row>
    <row r="135" spans="1:15" ht="130.15" customHeight="1" x14ac:dyDescent="0.2">
      <c r="A135" s="228" t="s">
        <v>854</v>
      </c>
      <c r="B135" s="219">
        <v>5</v>
      </c>
      <c r="C135" s="219" t="s">
        <v>855</v>
      </c>
      <c r="D135" s="219">
        <v>5.0999999999999996</v>
      </c>
      <c r="E135" s="219" t="s">
        <v>856</v>
      </c>
      <c r="F135" s="219" t="s">
        <v>720</v>
      </c>
      <c r="G135" s="219">
        <v>3</v>
      </c>
      <c r="H135" s="219" t="s">
        <v>859</v>
      </c>
      <c r="I135" s="206" t="s">
        <v>1289</v>
      </c>
      <c r="J135" s="206" t="s">
        <v>1785</v>
      </c>
      <c r="O135" s="235">
        <v>44671</v>
      </c>
    </row>
    <row r="136" spans="1:15" ht="45" x14ac:dyDescent="0.2">
      <c r="A136" s="228" t="s">
        <v>854</v>
      </c>
      <c r="B136" s="219">
        <v>5</v>
      </c>
      <c r="C136" s="219" t="s">
        <v>855</v>
      </c>
      <c r="D136" s="219">
        <v>5.0999999999999996</v>
      </c>
      <c r="E136" s="219" t="s">
        <v>856</v>
      </c>
      <c r="F136" s="219" t="s">
        <v>720</v>
      </c>
      <c r="G136" s="219">
        <v>4</v>
      </c>
      <c r="H136" s="219" t="s">
        <v>860</v>
      </c>
      <c r="I136" s="206" t="s">
        <v>1289</v>
      </c>
      <c r="J136" s="206" t="s">
        <v>1807</v>
      </c>
      <c r="O136" s="235">
        <v>44671</v>
      </c>
    </row>
    <row r="137" spans="1:15" ht="45" x14ac:dyDescent="0.2">
      <c r="A137" s="228" t="s">
        <v>854</v>
      </c>
      <c r="B137" s="219">
        <v>5</v>
      </c>
      <c r="C137" s="219" t="s">
        <v>855</v>
      </c>
      <c r="D137" s="219">
        <v>5.0999999999999996</v>
      </c>
      <c r="E137" s="219" t="s">
        <v>856</v>
      </c>
      <c r="F137" s="219" t="s">
        <v>720</v>
      </c>
      <c r="G137" s="219">
        <v>5</v>
      </c>
      <c r="H137" s="219" t="s">
        <v>861</v>
      </c>
      <c r="I137" s="206" t="s">
        <v>737</v>
      </c>
      <c r="J137" s="206" t="s">
        <v>1288</v>
      </c>
      <c r="K137" s="206" t="s">
        <v>1808</v>
      </c>
      <c r="L137" s="206" t="s">
        <v>1795</v>
      </c>
      <c r="O137" s="235">
        <v>44671</v>
      </c>
    </row>
    <row r="138" spans="1:15" ht="90" x14ac:dyDescent="0.2">
      <c r="A138" s="228" t="s">
        <v>854</v>
      </c>
      <c r="B138" s="219">
        <v>5</v>
      </c>
      <c r="C138" s="219" t="s">
        <v>855</v>
      </c>
      <c r="D138" s="219">
        <v>5.0999999999999996</v>
      </c>
      <c r="E138" s="219" t="s">
        <v>856</v>
      </c>
      <c r="F138" s="219" t="s">
        <v>720</v>
      </c>
      <c r="G138" s="219">
        <v>6</v>
      </c>
      <c r="H138" s="219" t="s">
        <v>862</v>
      </c>
      <c r="I138" s="206" t="s">
        <v>1289</v>
      </c>
      <c r="J138" s="206" t="s">
        <v>1335</v>
      </c>
      <c r="O138" s="235">
        <v>44671</v>
      </c>
    </row>
    <row r="139" spans="1:15" ht="45" x14ac:dyDescent="0.2">
      <c r="A139" s="228" t="s">
        <v>854</v>
      </c>
      <c r="B139" s="219">
        <v>5</v>
      </c>
      <c r="C139" s="219" t="s">
        <v>855</v>
      </c>
      <c r="D139" s="219">
        <v>5.0999999999999996</v>
      </c>
      <c r="E139" s="219" t="s">
        <v>856</v>
      </c>
      <c r="F139" s="219" t="s">
        <v>720</v>
      </c>
      <c r="G139" s="219">
        <v>7</v>
      </c>
      <c r="H139" s="219" t="s">
        <v>863</v>
      </c>
      <c r="I139" s="206" t="s">
        <v>1289</v>
      </c>
      <c r="J139" s="206" t="s">
        <v>1335</v>
      </c>
      <c r="O139" s="235">
        <v>44671</v>
      </c>
    </row>
    <row r="140" spans="1:15" ht="90" x14ac:dyDescent="0.2">
      <c r="A140" s="228" t="s">
        <v>854</v>
      </c>
      <c r="B140" s="220">
        <v>5</v>
      </c>
      <c r="C140" s="220" t="s">
        <v>855</v>
      </c>
      <c r="D140" s="220">
        <v>5.0999999999999996</v>
      </c>
      <c r="E140" s="220" t="s">
        <v>856</v>
      </c>
      <c r="F140" s="220" t="s">
        <v>718</v>
      </c>
      <c r="G140" s="220">
        <v>1</v>
      </c>
      <c r="H140" s="220" t="s">
        <v>864</v>
      </c>
      <c r="I140" s="206" t="s">
        <v>1289</v>
      </c>
      <c r="J140" s="206" t="s">
        <v>1336</v>
      </c>
      <c r="O140" s="235">
        <v>44671</v>
      </c>
    </row>
    <row r="141" spans="1:15" ht="45" x14ac:dyDescent="0.2">
      <c r="A141" s="228" t="s">
        <v>854</v>
      </c>
      <c r="B141" s="220">
        <v>5</v>
      </c>
      <c r="C141" s="220" t="s">
        <v>855</v>
      </c>
      <c r="D141" s="220">
        <v>5.0999999999999996</v>
      </c>
      <c r="E141" s="220" t="s">
        <v>856</v>
      </c>
      <c r="F141" s="220" t="s">
        <v>718</v>
      </c>
      <c r="G141" s="220">
        <v>2</v>
      </c>
      <c r="H141" s="220" t="s">
        <v>865</v>
      </c>
      <c r="I141" s="206" t="s">
        <v>1289</v>
      </c>
      <c r="J141" s="206" t="s">
        <v>1785</v>
      </c>
      <c r="O141" s="235">
        <v>44671</v>
      </c>
    </row>
    <row r="142" spans="1:15" ht="90.75" thickBot="1" x14ac:dyDescent="0.25">
      <c r="A142" s="228" t="s">
        <v>854</v>
      </c>
      <c r="B142" s="220">
        <v>5</v>
      </c>
      <c r="C142" s="220" t="s">
        <v>855</v>
      </c>
      <c r="D142" s="220">
        <v>5.0999999999999996</v>
      </c>
      <c r="E142" s="220" t="s">
        <v>856</v>
      </c>
      <c r="F142" s="220" t="s">
        <v>718</v>
      </c>
      <c r="G142" s="220">
        <v>3</v>
      </c>
      <c r="H142" s="220" t="s">
        <v>866</v>
      </c>
      <c r="I142" s="206" t="s">
        <v>1289</v>
      </c>
      <c r="J142" s="206" t="s">
        <v>1337</v>
      </c>
      <c r="O142" s="235">
        <v>44671</v>
      </c>
    </row>
    <row r="143" spans="1:15" ht="30.75" thickBot="1" x14ac:dyDescent="0.25">
      <c r="A143" s="222" t="s">
        <v>854</v>
      </c>
      <c r="B143" s="223">
        <v>5</v>
      </c>
      <c r="C143" s="223" t="s">
        <v>203</v>
      </c>
      <c r="D143" s="223">
        <v>5.0999999999999996</v>
      </c>
      <c r="E143" s="223" t="s">
        <v>856</v>
      </c>
      <c r="F143" s="223" t="s">
        <v>1282</v>
      </c>
      <c r="G143" s="223">
        <v>2</v>
      </c>
      <c r="H143" s="223" t="s">
        <v>721</v>
      </c>
      <c r="I143" s="225"/>
      <c r="O143" s="235">
        <v>44671</v>
      </c>
    </row>
    <row r="144" spans="1:15" ht="30" x14ac:dyDescent="0.2">
      <c r="A144" s="228" t="s">
        <v>854</v>
      </c>
      <c r="B144" s="221">
        <v>5</v>
      </c>
      <c r="C144" s="221" t="s">
        <v>855</v>
      </c>
      <c r="D144" s="221">
        <v>5.2</v>
      </c>
      <c r="E144" s="221" t="s">
        <v>867</v>
      </c>
      <c r="F144" s="221" t="s">
        <v>722</v>
      </c>
      <c r="G144" s="221" t="s">
        <v>811</v>
      </c>
      <c r="H144" s="221"/>
      <c r="I144" s="206" t="s">
        <v>1300</v>
      </c>
      <c r="O144" s="235">
        <v>44671</v>
      </c>
    </row>
    <row r="145" spans="1:15" ht="60" x14ac:dyDescent="0.2">
      <c r="A145" s="228" t="s">
        <v>854</v>
      </c>
      <c r="B145" s="219">
        <v>5</v>
      </c>
      <c r="C145" s="219" t="s">
        <v>855</v>
      </c>
      <c r="D145" s="219">
        <v>5.2</v>
      </c>
      <c r="E145" s="219" t="s">
        <v>867</v>
      </c>
      <c r="F145" s="219" t="s">
        <v>720</v>
      </c>
      <c r="G145" s="219">
        <v>1</v>
      </c>
      <c r="H145" s="219" t="s">
        <v>868</v>
      </c>
      <c r="I145" s="206" t="s">
        <v>737</v>
      </c>
      <c r="J145" s="206" t="s">
        <v>1338</v>
      </c>
      <c r="K145" s="206" t="s">
        <v>1809</v>
      </c>
      <c r="L145" s="206" t="s">
        <v>1795</v>
      </c>
      <c r="O145" s="235">
        <v>44671</v>
      </c>
    </row>
    <row r="146" spans="1:15" ht="75" x14ac:dyDescent="0.2">
      <c r="A146" s="228" t="s">
        <v>854</v>
      </c>
      <c r="B146" s="219">
        <v>5</v>
      </c>
      <c r="C146" s="219" t="s">
        <v>855</v>
      </c>
      <c r="D146" s="219">
        <v>5.2</v>
      </c>
      <c r="E146" s="219" t="s">
        <v>867</v>
      </c>
      <c r="F146" s="219" t="s">
        <v>720</v>
      </c>
      <c r="G146" s="219">
        <v>2</v>
      </c>
      <c r="H146" s="219" t="s">
        <v>869</v>
      </c>
      <c r="I146" s="206" t="s">
        <v>1289</v>
      </c>
      <c r="J146" s="206" t="s">
        <v>1339</v>
      </c>
      <c r="O146" s="235">
        <v>44671</v>
      </c>
    </row>
    <row r="147" spans="1:15" ht="75" x14ac:dyDescent="0.2">
      <c r="A147" s="228" t="s">
        <v>854</v>
      </c>
      <c r="B147" s="219">
        <v>5</v>
      </c>
      <c r="C147" s="219" t="s">
        <v>855</v>
      </c>
      <c r="D147" s="219">
        <v>5.2</v>
      </c>
      <c r="E147" s="219" t="s">
        <v>867</v>
      </c>
      <c r="F147" s="219" t="s">
        <v>720</v>
      </c>
      <c r="G147" s="219">
        <v>3</v>
      </c>
      <c r="H147" s="219" t="s">
        <v>870</v>
      </c>
      <c r="I147" s="206" t="s">
        <v>1289</v>
      </c>
      <c r="J147" s="206" t="s">
        <v>1340</v>
      </c>
      <c r="O147" s="235">
        <v>44671</v>
      </c>
    </row>
    <row r="148" spans="1:15" ht="45" x14ac:dyDescent="0.2">
      <c r="A148" s="228" t="s">
        <v>854</v>
      </c>
      <c r="B148" s="219">
        <v>5</v>
      </c>
      <c r="C148" s="219" t="s">
        <v>855</v>
      </c>
      <c r="D148" s="219">
        <v>5.2</v>
      </c>
      <c r="E148" s="219" t="s">
        <v>867</v>
      </c>
      <c r="F148" s="219" t="s">
        <v>720</v>
      </c>
      <c r="G148" s="219">
        <v>4</v>
      </c>
      <c r="H148" s="219" t="s">
        <v>871</v>
      </c>
      <c r="I148" s="206" t="s">
        <v>1289</v>
      </c>
      <c r="J148" s="206" t="s">
        <v>1340</v>
      </c>
      <c r="O148" s="235">
        <v>44671</v>
      </c>
    </row>
    <row r="149" spans="1:15" ht="75" x14ac:dyDescent="0.2">
      <c r="A149" s="228" t="s">
        <v>854</v>
      </c>
      <c r="B149" s="219">
        <v>5</v>
      </c>
      <c r="C149" s="219" t="s">
        <v>855</v>
      </c>
      <c r="D149" s="219">
        <v>5.2</v>
      </c>
      <c r="E149" s="219" t="s">
        <v>867</v>
      </c>
      <c r="F149" s="219" t="s">
        <v>720</v>
      </c>
      <c r="G149" s="219">
        <v>5</v>
      </c>
      <c r="H149" s="219" t="s">
        <v>872</v>
      </c>
      <c r="I149" s="206" t="s">
        <v>1289</v>
      </c>
      <c r="J149" s="206" t="s">
        <v>1339</v>
      </c>
      <c r="O149" s="235">
        <v>44671</v>
      </c>
    </row>
    <row r="150" spans="1:15" ht="90" x14ac:dyDescent="0.2">
      <c r="A150" s="228" t="s">
        <v>854</v>
      </c>
      <c r="B150" s="219">
        <v>5</v>
      </c>
      <c r="C150" s="219" t="s">
        <v>855</v>
      </c>
      <c r="D150" s="219">
        <v>5.2</v>
      </c>
      <c r="E150" s="219" t="s">
        <v>867</v>
      </c>
      <c r="F150" s="219" t="s">
        <v>720</v>
      </c>
      <c r="G150" s="219">
        <v>6</v>
      </c>
      <c r="H150" s="219" t="s">
        <v>873</v>
      </c>
      <c r="I150" s="206" t="s">
        <v>1289</v>
      </c>
      <c r="J150" s="206" t="s">
        <v>1341</v>
      </c>
      <c r="O150" s="235">
        <v>44671</v>
      </c>
    </row>
    <row r="151" spans="1:15" ht="150" x14ac:dyDescent="0.2">
      <c r="A151" s="228" t="s">
        <v>854</v>
      </c>
      <c r="B151" s="219">
        <v>5</v>
      </c>
      <c r="C151" s="219" t="s">
        <v>855</v>
      </c>
      <c r="D151" s="219">
        <v>5.2</v>
      </c>
      <c r="E151" s="219" t="s">
        <v>867</v>
      </c>
      <c r="F151" s="219" t="s">
        <v>720</v>
      </c>
      <c r="G151" s="219" t="s">
        <v>874</v>
      </c>
      <c r="H151" s="219" t="s">
        <v>875</v>
      </c>
      <c r="I151" s="206" t="s">
        <v>1289</v>
      </c>
      <c r="J151" s="206" t="s">
        <v>1342</v>
      </c>
      <c r="O151" s="235">
        <v>44671</v>
      </c>
    </row>
    <row r="152" spans="1:15" ht="75.75" thickBot="1" x14ac:dyDescent="0.25">
      <c r="A152" s="228" t="s">
        <v>854</v>
      </c>
      <c r="B152" s="220">
        <v>5</v>
      </c>
      <c r="C152" s="220" t="s">
        <v>855</v>
      </c>
      <c r="D152" s="220">
        <v>5.2</v>
      </c>
      <c r="E152" s="220" t="s">
        <v>867</v>
      </c>
      <c r="F152" s="220" t="s">
        <v>718</v>
      </c>
      <c r="G152" s="220">
        <v>1</v>
      </c>
      <c r="H152" s="220" t="s">
        <v>876</v>
      </c>
      <c r="I152" s="206" t="s">
        <v>1289</v>
      </c>
      <c r="J152" s="206" t="s">
        <v>1343</v>
      </c>
      <c r="O152" s="235">
        <v>44671</v>
      </c>
    </row>
    <row r="153" spans="1:15" ht="30.75" thickBot="1" x14ac:dyDescent="0.25">
      <c r="A153" s="222" t="s">
        <v>854</v>
      </c>
      <c r="B153" s="223">
        <v>5</v>
      </c>
      <c r="C153" s="223" t="s">
        <v>855</v>
      </c>
      <c r="D153" s="223">
        <v>5.2</v>
      </c>
      <c r="E153" s="223" t="s">
        <v>867</v>
      </c>
      <c r="F153" s="223" t="s">
        <v>1282</v>
      </c>
      <c r="G153" s="223">
        <v>2</v>
      </c>
      <c r="H153" s="223" t="s">
        <v>721</v>
      </c>
      <c r="I153" s="225"/>
      <c r="O153" s="235">
        <v>44671</v>
      </c>
    </row>
    <row r="154" spans="1:15" ht="30" x14ac:dyDescent="0.2">
      <c r="A154" s="228" t="s">
        <v>854</v>
      </c>
      <c r="B154" s="221">
        <v>5</v>
      </c>
      <c r="C154" s="221" t="s">
        <v>855</v>
      </c>
      <c r="D154" s="221">
        <v>5.3</v>
      </c>
      <c r="E154" s="221" t="s">
        <v>877</v>
      </c>
      <c r="F154" s="221" t="s">
        <v>722</v>
      </c>
      <c r="G154" s="221" t="s">
        <v>811</v>
      </c>
      <c r="H154" s="221"/>
      <c r="I154" s="206" t="s">
        <v>1300</v>
      </c>
      <c r="O154" s="235">
        <v>44671</v>
      </c>
    </row>
    <row r="155" spans="1:15" ht="75" x14ac:dyDescent="0.2">
      <c r="A155" s="228" t="s">
        <v>854</v>
      </c>
      <c r="B155" s="219">
        <v>5</v>
      </c>
      <c r="C155" s="219" t="s">
        <v>855</v>
      </c>
      <c r="D155" s="219">
        <v>5.3</v>
      </c>
      <c r="E155" s="219" t="s">
        <v>877</v>
      </c>
      <c r="F155" s="219" t="s">
        <v>720</v>
      </c>
      <c r="G155" s="219">
        <v>1</v>
      </c>
      <c r="H155" s="219" t="s">
        <v>1545</v>
      </c>
      <c r="I155" s="206" t="s">
        <v>1289</v>
      </c>
      <c r="J155" s="206" t="s">
        <v>1344</v>
      </c>
      <c r="O155" s="235">
        <v>44671</v>
      </c>
    </row>
    <row r="156" spans="1:15" ht="45" x14ac:dyDescent="0.2">
      <c r="A156" s="228" t="s">
        <v>854</v>
      </c>
      <c r="B156" s="220">
        <v>5</v>
      </c>
      <c r="C156" s="220" t="s">
        <v>855</v>
      </c>
      <c r="D156" s="220">
        <v>5.3</v>
      </c>
      <c r="E156" s="220" t="s">
        <v>877</v>
      </c>
      <c r="F156" s="220" t="s">
        <v>718</v>
      </c>
      <c r="G156" s="220">
        <v>1</v>
      </c>
      <c r="H156" s="220" t="s">
        <v>878</v>
      </c>
      <c r="I156" s="206" t="s">
        <v>737</v>
      </c>
      <c r="J156" s="206" t="s">
        <v>1345</v>
      </c>
      <c r="K156" s="206" t="s">
        <v>1810</v>
      </c>
      <c r="L156" s="206" t="s">
        <v>1795</v>
      </c>
      <c r="O156" s="235">
        <v>44671</v>
      </c>
    </row>
    <row r="157" spans="1:15" ht="45" x14ac:dyDescent="0.2">
      <c r="A157" s="228" t="s">
        <v>854</v>
      </c>
      <c r="B157" s="220">
        <v>5</v>
      </c>
      <c r="C157" s="220" t="s">
        <v>855</v>
      </c>
      <c r="D157" s="220">
        <v>5.3</v>
      </c>
      <c r="E157" s="220" t="s">
        <v>877</v>
      </c>
      <c r="F157" s="220" t="s">
        <v>718</v>
      </c>
      <c r="G157" s="220">
        <v>2</v>
      </c>
      <c r="H157" s="220" t="s">
        <v>879</v>
      </c>
      <c r="I157" s="206" t="s">
        <v>737</v>
      </c>
      <c r="J157" s="206" t="s">
        <v>1288</v>
      </c>
      <c r="K157" s="206" t="s">
        <v>1811</v>
      </c>
      <c r="L157" s="206" t="s">
        <v>1795</v>
      </c>
      <c r="O157" s="235">
        <v>44671</v>
      </c>
    </row>
    <row r="158" spans="1:15" ht="90" x14ac:dyDescent="0.2">
      <c r="A158" s="228" t="s">
        <v>854</v>
      </c>
      <c r="B158" s="220">
        <v>5</v>
      </c>
      <c r="C158" s="220" t="s">
        <v>855</v>
      </c>
      <c r="D158" s="220">
        <v>5.3</v>
      </c>
      <c r="E158" s="220" t="s">
        <v>877</v>
      </c>
      <c r="F158" s="220" t="s">
        <v>718</v>
      </c>
      <c r="G158" s="220">
        <v>3</v>
      </c>
      <c r="H158" s="220" t="s">
        <v>880</v>
      </c>
      <c r="I158" s="206" t="s">
        <v>1289</v>
      </c>
      <c r="J158" s="206" t="s">
        <v>1812</v>
      </c>
      <c r="O158" s="235">
        <v>44671</v>
      </c>
    </row>
    <row r="159" spans="1:15" ht="45.75" thickBot="1" x14ac:dyDescent="0.25">
      <c r="A159" s="228" t="s">
        <v>854</v>
      </c>
      <c r="B159" s="220">
        <v>5</v>
      </c>
      <c r="C159" s="220" t="s">
        <v>855</v>
      </c>
      <c r="D159" s="220">
        <v>5.3</v>
      </c>
      <c r="E159" s="220" t="s">
        <v>877</v>
      </c>
      <c r="F159" s="220" t="s">
        <v>718</v>
      </c>
      <c r="G159" s="220">
        <v>4</v>
      </c>
      <c r="H159" s="220" t="s">
        <v>881</v>
      </c>
      <c r="I159" s="206" t="s">
        <v>1289</v>
      </c>
      <c r="J159" s="206" t="s">
        <v>1346</v>
      </c>
      <c r="O159" s="235">
        <v>44671</v>
      </c>
    </row>
    <row r="160" spans="1:15" ht="30.75" thickBot="1" x14ac:dyDescent="0.25">
      <c r="A160" s="222" t="s">
        <v>854</v>
      </c>
      <c r="B160" s="223">
        <v>5</v>
      </c>
      <c r="C160" s="223" t="s">
        <v>855</v>
      </c>
      <c r="D160" s="223">
        <v>5.3</v>
      </c>
      <c r="E160" s="223" t="s">
        <v>877</v>
      </c>
      <c r="F160" s="223" t="s">
        <v>1282</v>
      </c>
      <c r="G160" s="223">
        <v>4</v>
      </c>
      <c r="H160" s="223" t="s">
        <v>719</v>
      </c>
      <c r="I160" s="225"/>
      <c r="O160" s="235">
        <v>44671</v>
      </c>
    </row>
    <row r="161" spans="1:15" ht="30" x14ac:dyDescent="0.2">
      <c r="A161" s="228" t="s">
        <v>854</v>
      </c>
      <c r="B161" s="221">
        <v>5</v>
      </c>
      <c r="C161" s="221" t="s">
        <v>855</v>
      </c>
      <c r="D161" s="221">
        <v>5.4</v>
      </c>
      <c r="E161" s="221" t="s">
        <v>882</v>
      </c>
      <c r="F161" s="221" t="s">
        <v>722</v>
      </c>
      <c r="G161" s="221" t="s">
        <v>811</v>
      </c>
      <c r="H161" s="221"/>
      <c r="I161" s="206" t="s">
        <v>1300</v>
      </c>
      <c r="O161" s="235">
        <v>44671</v>
      </c>
    </row>
    <row r="162" spans="1:15" ht="30" x14ac:dyDescent="0.2">
      <c r="A162" s="228" t="s">
        <v>854</v>
      </c>
      <c r="B162" s="219">
        <v>5</v>
      </c>
      <c r="C162" s="219" t="s">
        <v>855</v>
      </c>
      <c r="D162" s="219">
        <v>5.4</v>
      </c>
      <c r="E162" s="219" t="s">
        <v>882</v>
      </c>
      <c r="F162" s="219" t="s">
        <v>720</v>
      </c>
      <c r="G162" s="219">
        <v>1</v>
      </c>
      <c r="H162" s="219" t="s">
        <v>883</v>
      </c>
      <c r="I162" s="206" t="s">
        <v>737</v>
      </c>
      <c r="J162" s="206" t="s">
        <v>1347</v>
      </c>
      <c r="O162" s="235">
        <v>44671</v>
      </c>
    </row>
    <row r="163" spans="1:15" ht="45" x14ac:dyDescent="0.2">
      <c r="A163" s="228" t="s">
        <v>854</v>
      </c>
      <c r="B163" s="220">
        <v>5</v>
      </c>
      <c r="C163" s="220" t="s">
        <v>855</v>
      </c>
      <c r="D163" s="220">
        <v>5.4</v>
      </c>
      <c r="E163" s="220" t="s">
        <v>882</v>
      </c>
      <c r="F163" s="220" t="s">
        <v>718</v>
      </c>
      <c r="G163" s="220">
        <v>1</v>
      </c>
      <c r="H163" s="220" t="s">
        <v>884</v>
      </c>
      <c r="I163" s="206" t="s">
        <v>737</v>
      </c>
      <c r="J163" s="206" t="s">
        <v>1348</v>
      </c>
      <c r="O163" s="235">
        <v>44671</v>
      </c>
    </row>
    <row r="164" spans="1:15" ht="60" x14ac:dyDescent="0.2">
      <c r="A164" s="228" t="s">
        <v>854</v>
      </c>
      <c r="B164" s="220">
        <v>5</v>
      </c>
      <c r="C164" s="220" t="s">
        <v>855</v>
      </c>
      <c r="D164" s="220">
        <v>5.4</v>
      </c>
      <c r="E164" s="220" t="s">
        <v>882</v>
      </c>
      <c r="F164" s="220" t="s">
        <v>718</v>
      </c>
      <c r="G164" s="220">
        <v>2</v>
      </c>
      <c r="H164" s="220" t="s">
        <v>885</v>
      </c>
      <c r="I164" s="206" t="s">
        <v>737</v>
      </c>
      <c r="J164" s="206" t="s">
        <v>1349</v>
      </c>
      <c r="O164" s="235">
        <v>44671</v>
      </c>
    </row>
    <row r="165" spans="1:15" ht="87" customHeight="1" thickBot="1" x14ac:dyDescent="0.25">
      <c r="A165" s="228" t="s">
        <v>854</v>
      </c>
      <c r="B165" s="220">
        <v>5</v>
      </c>
      <c r="C165" s="220" t="s">
        <v>855</v>
      </c>
      <c r="D165" s="220">
        <v>5.4</v>
      </c>
      <c r="E165" s="220" t="s">
        <v>882</v>
      </c>
      <c r="F165" s="220" t="s">
        <v>718</v>
      </c>
      <c r="G165" s="220">
        <v>3</v>
      </c>
      <c r="H165" s="220" t="s">
        <v>886</v>
      </c>
      <c r="I165" s="206" t="s">
        <v>737</v>
      </c>
      <c r="J165" s="206" t="s">
        <v>1350</v>
      </c>
      <c r="O165" s="235">
        <v>44671</v>
      </c>
    </row>
    <row r="166" spans="1:15" ht="39" customHeight="1" thickBot="1" x14ac:dyDescent="0.25">
      <c r="A166" s="222" t="s">
        <v>854</v>
      </c>
      <c r="B166" s="223">
        <v>5</v>
      </c>
      <c r="C166" s="223" t="s">
        <v>855</v>
      </c>
      <c r="D166" s="223">
        <v>5.4</v>
      </c>
      <c r="E166" s="223" t="s">
        <v>882</v>
      </c>
      <c r="F166" s="223" t="s">
        <v>1282</v>
      </c>
      <c r="G166" s="223">
        <v>1</v>
      </c>
      <c r="H166" s="223" t="s">
        <v>722</v>
      </c>
      <c r="I166" s="225"/>
      <c r="O166" s="235">
        <v>44671</v>
      </c>
    </row>
    <row r="167" spans="1:15" ht="30" x14ac:dyDescent="0.2">
      <c r="A167" s="228" t="s">
        <v>854</v>
      </c>
      <c r="B167" s="221">
        <v>5</v>
      </c>
      <c r="C167" s="221" t="s">
        <v>855</v>
      </c>
      <c r="D167" s="221">
        <v>5.5</v>
      </c>
      <c r="E167" s="221" t="s">
        <v>761</v>
      </c>
      <c r="F167" s="221" t="s">
        <v>722</v>
      </c>
      <c r="G167" s="221" t="s">
        <v>811</v>
      </c>
      <c r="H167" s="221"/>
      <c r="I167" s="206" t="s">
        <v>1300</v>
      </c>
      <c r="O167" s="235">
        <v>44671</v>
      </c>
    </row>
    <row r="168" spans="1:15" ht="63" customHeight="1" x14ac:dyDescent="0.2">
      <c r="A168" s="228" t="s">
        <v>854</v>
      </c>
      <c r="B168" s="219">
        <v>5</v>
      </c>
      <c r="C168" s="219" t="s">
        <v>855</v>
      </c>
      <c r="D168" s="219">
        <v>5.5</v>
      </c>
      <c r="E168" s="219" t="s">
        <v>761</v>
      </c>
      <c r="F168" s="219" t="s">
        <v>720</v>
      </c>
      <c r="G168" s="219">
        <v>1</v>
      </c>
      <c r="H168" s="219" t="s">
        <v>887</v>
      </c>
      <c r="I168" s="206" t="s">
        <v>737</v>
      </c>
      <c r="J168" s="206" t="s">
        <v>1348</v>
      </c>
      <c r="O168" s="235">
        <v>44671</v>
      </c>
    </row>
    <row r="169" spans="1:15" ht="45" x14ac:dyDescent="0.2">
      <c r="A169" s="228" t="s">
        <v>854</v>
      </c>
      <c r="B169" s="219">
        <v>5</v>
      </c>
      <c r="C169" s="219" t="s">
        <v>855</v>
      </c>
      <c r="D169" s="219">
        <v>5.5</v>
      </c>
      <c r="E169" s="219" t="s">
        <v>761</v>
      </c>
      <c r="F169" s="219" t="s">
        <v>720</v>
      </c>
      <c r="G169" s="219">
        <v>2</v>
      </c>
      <c r="H169" s="219" t="s">
        <v>888</v>
      </c>
      <c r="I169" s="206" t="s">
        <v>1289</v>
      </c>
      <c r="J169" s="206" t="s">
        <v>1351</v>
      </c>
      <c r="O169" s="235">
        <v>44671</v>
      </c>
    </row>
    <row r="170" spans="1:15" ht="45" x14ac:dyDescent="0.2">
      <c r="A170" s="228" t="s">
        <v>854</v>
      </c>
      <c r="B170" s="219">
        <v>5</v>
      </c>
      <c r="C170" s="219" t="s">
        <v>855</v>
      </c>
      <c r="D170" s="219">
        <v>5.5</v>
      </c>
      <c r="E170" s="219" t="s">
        <v>761</v>
      </c>
      <c r="F170" s="219" t="s">
        <v>720</v>
      </c>
      <c r="G170" s="219">
        <v>3</v>
      </c>
      <c r="H170" s="219" t="s">
        <v>889</v>
      </c>
      <c r="I170" s="206" t="s">
        <v>737</v>
      </c>
      <c r="J170" s="206" t="s">
        <v>1352</v>
      </c>
      <c r="O170" s="235">
        <v>44671</v>
      </c>
    </row>
    <row r="171" spans="1:15" ht="60" x14ac:dyDescent="0.2">
      <c r="A171" s="228" t="s">
        <v>854</v>
      </c>
      <c r="B171" s="220">
        <v>5</v>
      </c>
      <c r="C171" s="220" t="s">
        <v>855</v>
      </c>
      <c r="D171" s="220">
        <v>5.5</v>
      </c>
      <c r="E171" s="220" t="s">
        <v>761</v>
      </c>
      <c r="F171" s="220" t="s">
        <v>718</v>
      </c>
      <c r="G171" s="220">
        <v>1</v>
      </c>
      <c r="H171" s="220" t="s">
        <v>890</v>
      </c>
      <c r="I171" s="206" t="s">
        <v>1289</v>
      </c>
      <c r="J171" s="206" t="s">
        <v>1353</v>
      </c>
      <c r="O171" s="235">
        <v>44671</v>
      </c>
    </row>
    <row r="172" spans="1:15" ht="76.900000000000006" customHeight="1" thickBot="1" x14ac:dyDescent="0.25">
      <c r="A172" s="228" t="s">
        <v>854</v>
      </c>
      <c r="B172" s="220">
        <v>5</v>
      </c>
      <c r="C172" s="220" t="s">
        <v>855</v>
      </c>
      <c r="D172" s="220">
        <v>5.5</v>
      </c>
      <c r="E172" s="220" t="s">
        <v>761</v>
      </c>
      <c r="F172" s="220" t="s">
        <v>718</v>
      </c>
      <c r="G172" s="220">
        <v>2</v>
      </c>
      <c r="H172" s="220" t="s">
        <v>891</v>
      </c>
      <c r="I172" s="206" t="s">
        <v>737</v>
      </c>
      <c r="J172" s="206" t="s">
        <v>1354</v>
      </c>
      <c r="O172" s="235">
        <v>44671</v>
      </c>
    </row>
    <row r="173" spans="1:15" ht="30.75" thickBot="1" x14ac:dyDescent="0.25">
      <c r="A173" s="222" t="s">
        <v>854</v>
      </c>
      <c r="B173" s="223">
        <v>5</v>
      </c>
      <c r="C173" s="223" t="s">
        <v>855</v>
      </c>
      <c r="D173" s="223">
        <v>5.5</v>
      </c>
      <c r="E173" s="223" t="s">
        <v>761</v>
      </c>
      <c r="F173" s="223" t="s">
        <v>1282</v>
      </c>
      <c r="G173" s="223">
        <v>1</v>
      </c>
      <c r="H173" s="223" t="s">
        <v>722</v>
      </c>
      <c r="I173" s="225"/>
      <c r="O173" s="235">
        <v>44671</v>
      </c>
    </row>
    <row r="174" spans="1:15" ht="30" x14ac:dyDescent="0.2">
      <c r="A174" s="228" t="s">
        <v>854</v>
      </c>
      <c r="B174" s="221">
        <v>5</v>
      </c>
      <c r="C174" s="221" t="s">
        <v>855</v>
      </c>
      <c r="D174" s="221">
        <v>5.6</v>
      </c>
      <c r="E174" s="221" t="s">
        <v>892</v>
      </c>
      <c r="F174" s="221" t="s">
        <v>722</v>
      </c>
      <c r="G174" s="221" t="s">
        <v>811</v>
      </c>
      <c r="H174" s="221"/>
      <c r="I174" s="206" t="s">
        <v>1300</v>
      </c>
      <c r="O174" s="235">
        <v>44671</v>
      </c>
    </row>
    <row r="175" spans="1:15" ht="75" x14ac:dyDescent="0.2">
      <c r="A175" s="228" t="s">
        <v>854</v>
      </c>
      <c r="B175" s="219">
        <v>5</v>
      </c>
      <c r="C175" s="219" t="s">
        <v>855</v>
      </c>
      <c r="D175" s="219">
        <v>5.6</v>
      </c>
      <c r="E175" s="219" t="s">
        <v>892</v>
      </c>
      <c r="F175" s="219" t="s">
        <v>720</v>
      </c>
      <c r="G175" s="219">
        <v>1</v>
      </c>
      <c r="H175" s="219" t="s">
        <v>893</v>
      </c>
      <c r="I175" s="206" t="s">
        <v>1289</v>
      </c>
      <c r="J175" s="206" t="s">
        <v>1355</v>
      </c>
      <c r="O175" s="235">
        <v>44671</v>
      </c>
    </row>
    <row r="176" spans="1:15" ht="105" x14ac:dyDescent="0.2">
      <c r="A176" s="228" t="s">
        <v>854</v>
      </c>
      <c r="B176" s="219">
        <v>5</v>
      </c>
      <c r="C176" s="219" t="s">
        <v>855</v>
      </c>
      <c r="D176" s="219">
        <v>5.6</v>
      </c>
      <c r="E176" s="219" t="s">
        <v>892</v>
      </c>
      <c r="F176" s="219" t="s">
        <v>720</v>
      </c>
      <c r="G176" s="219">
        <v>2</v>
      </c>
      <c r="H176" s="219" t="s">
        <v>894</v>
      </c>
      <c r="I176" s="206" t="s">
        <v>1289</v>
      </c>
      <c r="J176" s="206" t="s">
        <v>1356</v>
      </c>
      <c r="O176" s="235">
        <v>44671</v>
      </c>
    </row>
    <row r="177" spans="1:15" ht="60" x14ac:dyDescent="0.2">
      <c r="A177" s="228" t="s">
        <v>854</v>
      </c>
      <c r="B177" s="219">
        <v>5</v>
      </c>
      <c r="C177" s="219" t="s">
        <v>855</v>
      </c>
      <c r="D177" s="219">
        <v>5.6</v>
      </c>
      <c r="E177" s="219" t="s">
        <v>892</v>
      </c>
      <c r="F177" s="219" t="s">
        <v>720</v>
      </c>
      <c r="G177" s="219">
        <v>3</v>
      </c>
      <c r="H177" s="219" t="s">
        <v>895</v>
      </c>
      <c r="I177" s="206" t="s">
        <v>1289</v>
      </c>
      <c r="J177" s="206" t="s">
        <v>1357</v>
      </c>
      <c r="O177" s="235">
        <v>44671</v>
      </c>
    </row>
    <row r="178" spans="1:15" ht="30" x14ac:dyDescent="0.2">
      <c r="A178" s="228" t="s">
        <v>854</v>
      </c>
      <c r="B178" s="219">
        <v>5</v>
      </c>
      <c r="C178" s="219" t="s">
        <v>855</v>
      </c>
      <c r="D178" s="219">
        <v>5.6</v>
      </c>
      <c r="E178" s="219" t="s">
        <v>892</v>
      </c>
      <c r="F178" s="219" t="s">
        <v>720</v>
      </c>
      <c r="G178" s="219">
        <v>4</v>
      </c>
      <c r="H178" s="219" t="s">
        <v>896</v>
      </c>
      <c r="I178" s="206" t="s">
        <v>1289</v>
      </c>
      <c r="J178" s="206" t="s">
        <v>1358</v>
      </c>
      <c r="O178" s="235">
        <v>44671</v>
      </c>
    </row>
    <row r="179" spans="1:15" ht="225" x14ac:dyDescent="0.2">
      <c r="A179" s="228" t="s">
        <v>854</v>
      </c>
      <c r="B179" s="219">
        <v>5</v>
      </c>
      <c r="C179" s="219" t="s">
        <v>855</v>
      </c>
      <c r="D179" s="219">
        <v>5.6</v>
      </c>
      <c r="E179" s="219" t="s">
        <v>892</v>
      </c>
      <c r="F179" s="219" t="s">
        <v>720</v>
      </c>
      <c r="G179" s="219" t="s">
        <v>874</v>
      </c>
      <c r="H179" s="219" t="s">
        <v>897</v>
      </c>
      <c r="I179" s="206" t="s">
        <v>1289</v>
      </c>
      <c r="J179" s="206" t="s">
        <v>1359</v>
      </c>
      <c r="O179" s="235">
        <v>44671</v>
      </c>
    </row>
    <row r="180" spans="1:15" ht="45" x14ac:dyDescent="0.2">
      <c r="A180" s="228" t="s">
        <v>854</v>
      </c>
      <c r="B180" s="220">
        <v>5</v>
      </c>
      <c r="C180" s="220" t="s">
        <v>855</v>
      </c>
      <c r="D180" s="220">
        <v>5.6</v>
      </c>
      <c r="E180" s="220" t="s">
        <v>892</v>
      </c>
      <c r="F180" s="220" t="s">
        <v>718</v>
      </c>
      <c r="G180" s="220">
        <v>1</v>
      </c>
      <c r="H180" s="220" t="s">
        <v>898</v>
      </c>
      <c r="I180" s="206" t="s">
        <v>737</v>
      </c>
      <c r="J180" s="206" t="s">
        <v>1288</v>
      </c>
      <c r="O180" s="235">
        <v>44671</v>
      </c>
    </row>
    <row r="181" spans="1:15" ht="54" customHeight="1" x14ac:dyDescent="0.2">
      <c r="A181" s="228" t="s">
        <v>854</v>
      </c>
      <c r="B181" s="220">
        <v>5</v>
      </c>
      <c r="C181" s="220" t="s">
        <v>855</v>
      </c>
      <c r="D181" s="220">
        <v>5.6</v>
      </c>
      <c r="E181" s="220" t="s">
        <v>892</v>
      </c>
      <c r="F181" s="220" t="s">
        <v>718</v>
      </c>
      <c r="G181" s="220">
        <v>2</v>
      </c>
      <c r="H181" s="220" t="s">
        <v>899</v>
      </c>
      <c r="I181" s="206" t="s">
        <v>737</v>
      </c>
      <c r="J181" s="206" t="s">
        <v>1288</v>
      </c>
      <c r="O181" s="235">
        <v>44671</v>
      </c>
    </row>
    <row r="182" spans="1:15" ht="69.599999999999994" customHeight="1" x14ac:dyDescent="0.2">
      <c r="A182" s="228" t="s">
        <v>854</v>
      </c>
      <c r="B182" s="220">
        <v>5</v>
      </c>
      <c r="C182" s="220" t="s">
        <v>855</v>
      </c>
      <c r="D182" s="220">
        <v>5.6</v>
      </c>
      <c r="E182" s="220" t="s">
        <v>892</v>
      </c>
      <c r="F182" s="220" t="s">
        <v>718</v>
      </c>
      <c r="G182" s="220">
        <v>3</v>
      </c>
      <c r="H182" s="220" t="s">
        <v>376</v>
      </c>
      <c r="I182" s="206" t="s">
        <v>1289</v>
      </c>
      <c r="J182" s="206" t="s">
        <v>1360</v>
      </c>
      <c r="O182" s="235">
        <v>44671</v>
      </c>
    </row>
    <row r="183" spans="1:15" ht="64.150000000000006" customHeight="1" thickBot="1" x14ac:dyDescent="0.25">
      <c r="A183" s="228" t="s">
        <v>854</v>
      </c>
      <c r="B183" s="220">
        <v>5</v>
      </c>
      <c r="C183" s="220" t="s">
        <v>855</v>
      </c>
      <c r="D183" s="220">
        <v>5.6</v>
      </c>
      <c r="E183" s="220" t="s">
        <v>892</v>
      </c>
      <c r="F183" s="220" t="s">
        <v>718</v>
      </c>
      <c r="G183" s="220">
        <v>4</v>
      </c>
      <c r="H183" s="220" t="s">
        <v>900</v>
      </c>
      <c r="I183" s="206" t="s">
        <v>1289</v>
      </c>
      <c r="J183" s="206" t="s">
        <v>1813</v>
      </c>
      <c r="O183" s="235">
        <v>44671</v>
      </c>
    </row>
    <row r="184" spans="1:15" ht="30.75" thickBot="1" x14ac:dyDescent="0.25">
      <c r="A184" s="222" t="s">
        <v>854</v>
      </c>
      <c r="B184" s="223">
        <v>5</v>
      </c>
      <c r="C184" s="223" t="s">
        <v>855</v>
      </c>
      <c r="D184" s="223">
        <v>5.6</v>
      </c>
      <c r="E184" s="223" t="s">
        <v>892</v>
      </c>
      <c r="F184" s="223" t="s">
        <v>1282</v>
      </c>
      <c r="G184" s="223">
        <v>4</v>
      </c>
      <c r="H184" s="223" t="s">
        <v>719</v>
      </c>
      <c r="I184" s="225"/>
      <c r="O184" s="235">
        <v>44671</v>
      </c>
    </row>
    <row r="185" spans="1:15" x14ac:dyDescent="0.2">
      <c r="A185" s="228" t="s">
        <v>854</v>
      </c>
      <c r="B185" s="221">
        <v>6</v>
      </c>
      <c r="C185" s="221" t="s">
        <v>901</v>
      </c>
      <c r="D185" s="221">
        <v>6.1</v>
      </c>
      <c r="E185" s="221" t="s">
        <v>902</v>
      </c>
      <c r="F185" s="221" t="s">
        <v>722</v>
      </c>
      <c r="G185" s="221" t="s">
        <v>811</v>
      </c>
      <c r="H185" s="221"/>
      <c r="I185" s="206" t="s">
        <v>1300</v>
      </c>
      <c r="O185" s="235">
        <v>44671</v>
      </c>
    </row>
    <row r="186" spans="1:15" ht="75" x14ac:dyDescent="0.2">
      <c r="A186" s="228" t="s">
        <v>854</v>
      </c>
      <c r="B186" s="219">
        <v>6</v>
      </c>
      <c r="C186" s="219" t="s">
        <v>901</v>
      </c>
      <c r="D186" s="219">
        <v>6.1</v>
      </c>
      <c r="E186" s="219" t="s">
        <v>902</v>
      </c>
      <c r="F186" s="219" t="s">
        <v>720</v>
      </c>
      <c r="G186" s="219" t="s">
        <v>770</v>
      </c>
      <c r="H186" s="219" t="s">
        <v>903</v>
      </c>
      <c r="I186" s="206" t="s">
        <v>1300</v>
      </c>
      <c r="O186" s="235">
        <v>44671</v>
      </c>
    </row>
    <row r="187" spans="1:15" ht="90" x14ac:dyDescent="0.2">
      <c r="A187" s="228" t="s">
        <v>854</v>
      </c>
      <c r="B187" s="220">
        <v>6</v>
      </c>
      <c r="C187" s="220" t="s">
        <v>901</v>
      </c>
      <c r="D187" s="220">
        <v>6.1</v>
      </c>
      <c r="E187" s="220" t="s">
        <v>902</v>
      </c>
      <c r="F187" s="220" t="s">
        <v>718</v>
      </c>
      <c r="G187" s="220">
        <v>1</v>
      </c>
      <c r="H187" s="220" t="s">
        <v>904</v>
      </c>
      <c r="I187" s="206" t="s">
        <v>1289</v>
      </c>
      <c r="J187" s="206" t="s">
        <v>1361</v>
      </c>
      <c r="O187" s="235">
        <v>44671</v>
      </c>
    </row>
    <row r="188" spans="1:15" ht="60.75" thickBot="1" x14ac:dyDescent="0.25">
      <c r="A188" s="228" t="s">
        <v>854</v>
      </c>
      <c r="B188" s="220">
        <v>6</v>
      </c>
      <c r="C188" s="220" t="s">
        <v>901</v>
      </c>
      <c r="D188" s="220">
        <v>6.1</v>
      </c>
      <c r="E188" s="220" t="s">
        <v>902</v>
      </c>
      <c r="F188" s="220" t="s">
        <v>718</v>
      </c>
      <c r="G188" s="220">
        <v>2</v>
      </c>
      <c r="H188" s="220" t="s">
        <v>905</v>
      </c>
      <c r="I188" s="206" t="s">
        <v>1289</v>
      </c>
      <c r="J188" s="206" t="s">
        <v>1362</v>
      </c>
      <c r="O188" s="235">
        <v>44671</v>
      </c>
    </row>
    <row r="189" spans="1:15" ht="31.5" customHeight="1" thickBot="1" x14ac:dyDescent="0.25">
      <c r="A189" s="222" t="s">
        <v>854</v>
      </c>
      <c r="B189" s="223">
        <v>6</v>
      </c>
      <c r="C189" s="223" t="s">
        <v>901</v>
      </c>
      <c r="D189" s="223">
        <v>6.1</v>
      </c>
      <c r="E189" s="223" t="s">
        <v>902</v>
      </c>
      <c r="F189" s="223" t="s">
        <v>1282</v>
      </c>
      <c r="G189" s="223">
        <v>5</v>
      </c>
      <c r="H189" s="223" t="s">
        <v>718</v>
      </c>
      <c r="I189" s="225"/>
      <c r="O189" s="235">
        <v>44671</v>
      </c>
    </row>
    <row r="190" spans="1:15" x14ac:dyDescent="0.2">
      <c r="A190" s="228" t="s">
        <v>854</v>
      </c>
      <c r="B190" s="221">
        <v>6</v>
      </c>
      <c r="C190" s="221" t="s">
        <v>901</v>
      </c>
      <c r="D190" s="221">
        <v>6.2</v>
      </c>
      <c r="E190" s="221" t="s">
        <v>906</v>
      </c>
      <c r="F190" s="221" t="s">
        <v>722</v>
      </c>
      <c r="G190" s="221" t="s">
        <v>811</v>
      </c>
      <c r="H190" s="221"/>
      <c r="I190" s="206" t="s">
        <v>1300</v>
      </c>
      <c r="O190" s="235">
        <v>44671</v>
      </c>
    </row>
    <row r="191" spans="1:15" ht="45" x14ac:dyDescent="0.2">
      <c r="A191" s="228" t="s">
        <v>854</v>
      </c>
      <c r="B191" s="219">
        <v>6</v>
      </c>
      <c r="C191" s="219" t="s">
        <v>901</v>
      </c>
      <c r="D191" s="219">
        <v>6.2</v>
      </c>
      <c r="E191" s="219" t="s">
        <v>906</v>
      </c>
      <c r="F191" s="219" t="s">
        <v>720</v>
      </c>
      <c r="G191" s="219">
        <v>1</v>
      </c>
      <c r="H191" s="219" t="s">
        <v>907</v>
      </c>
      <c r="I191" s="206" t="s">
        <v>1289</v>
      </c>
      <c r="J191" s="206" t="s">
        <v>1363</v>
      </c>
      <c r="O191" s="235">
        <v>44671</v>
      </c>
    </row>
    <row r="192" spans="1:15" ht="90" x14ac:dyDescent="0.2">
      <c r="A192" s="228" t="s">
        <v>854</v>
      </c>
      <c r="B192" s="219">
        <v>6</v>
      </c>
      <c r="C192" s="219" t="s">
        <v>901</v>
      </c>
      <c r="D192" s="219">
        <v>6.2</v>
      </c>
      <c r="E192" s="219" t="s">
        <v>906</v>
      </c>
      <c r="F192" s="219" t="s">
        <v>720</v>
      </c>
      <c r="G192" s="219">
        <v>2</v>
      </c>
      <c r="H192" s="219" t="s">
        <v>908</v>
      </c>
      <c r="I192" s="206" t="s">
        <v>1289</v>
      </c>
      <c r="J192" s="206" t="s">
        <v>1363</v>
      </c>
      <c r="O192" s="235">
        <v>44671</v>
      </c>
    </row>
    <row r="193" spans="1:15" ht="75" x14ac:dyDescent="0.2">
      <c r="A193" s="228" t="s">
        <v>854</v>
      </c>
      <c r="B193" s="219">
        <v>6</v>
      </c>
      <c r="C193" s="219" t="s">
        <v>901</v>
      </c>
      <c r="D193" s="219">
        <v>6.2</v>
      </c>
      <c r="E193" s="219" t="s">
        <v>906</v>
      </c>
      <c r="F193" s="219" t="s">
        <v>720</v>
      </c>
      <c r="G193" s="219">
        <v>3</v>
      </c>
      <c r="H193" s="219" t="s">
        <v>909</v>
      </c>
      <c r="I193" s="206" t="s">
        <v>1289</v>
      </c>
      <c r="J193" s="206" t="s">
        <v>1363</v>
      </c>
      <c r="O193" s="235">
        <v>44671</v>
      </c>
    </row>
    <row r="194" spans="1:15" ht="75" x14ac:dyDescent="0.2">
      <c r="A194" s="228" t="s">
        <v>854</v>
      </c>
      <c r="B194" s="219">
        <v>6</v>
      </c>
      <c r="C194" s="219" t="s">
        <v>901</v>
      </c>
      <c r="D194" s="219">
        <v>6.2</v>
      </c>
      <c r="E194" s="219" t="s">
        <v>906</v>
      </c>
      <c r="F194" s="219" t="s">
        <v>720</v>
      </c>
      <c r="G194" s="219">
        <v>4</v>
      </c>
      <c r="H194" s="219" t="s">
        <v>910</v>
      </c>
      <c r="I194" s="206" t="s">
        <v>1289</v>
      </c>
      <c r="J194" s="206" t="s">
        <v>1364</v>
      </c>
      <c r="O194" s="235">
        <v>44671</v>
      </c>
    </row>
    <row r="195" spans="1:15" ht="45" x14ac:dyDescent="0.2">
      <c r="A195" s="228" t="s">
        <v>854</v>
      </c>
      <c r="B195" s="219">
        <v>6</v>
      </c>
      <c r="C195" s="219" t="s">
        <v>901</v>
      </c>
      <c r="D195" s="219">
        <v>6.2</v>
      </c>
      <c r="E195" s="219" t="s">
        <v>906</v>
      </c>
      <c r="F195" s="219" t="s">
        <v>720</v>
      </c>
      <c r="G195" s="219">
        <v>5</v>
      </c>
      <c r="H195" s="219" t="s">
        <v>863</v>
      </c>
      <c r="I195" s="206" t="s">
        <v>1289</v>
      </c>
      <c r="J195" s="206" t="s">
        <v>1365</v>
      </c>
      <c r="O195" s="235">
        <v>44671</v>
      </c>
    </row>
    <row r="196" spans="1:15" ht="75" x14ac:dyDescent="0.2">
      <c r="A196" s="228" t="s">
        <v>854</v>
      </c>
      <c r="B196" s="220">
        <v>6</v>
      </c>
      <c r="C196" s="220" t="s">
        <v>901</v>
      </c>
      <c r="D196" s="220">
        <v>6.2</v>
      </c>
      <c r="E196" s="220" t="s">
        <v>906</v>
      </c>
      <c r="F196" s="220" t="s">
        <v>718</v>
      </c>
      <c r="G196" s="220">
        <v>1</v>
      </c>
      <c r="H196" s="220" t="s">
        <v>157</v>
      </c>
      <c r="I196" s="206" t="s">
        <v>1289</v>
      </c>
      <c r="J196" s="206" t="s">
        <v>1366</v>
      </c>
      <c r="O196" s="235">
        <v>44671</v>
      </c>
    </row>
    <row r="197" spans="1:15" ht="75" x14ac:dyDescent="0.2">
      <c r="A197" s="228" t="s">
        <v>854</v>
      </c>
      <c r="B197" s="220">
        <v>6</v>
      </c>
      <c r="C197" s="220" t="s">
        <v>901</v>
      </c>
      <c r="D197" s="220">
        <v>6.2</v>
      </c>
      <c r="E197" s="220" t="s">
        <v>906</v>
      </c>
      <c r="F197" s="220" t="s">
        <v>718</v>
      </c>
      <c r="G197" s="220">
        <v>2</v>
      </c>
      <c r="H197" s="220" t="s">
        <v>172</v>
      </c>
      <c r="I197" s="206" t="s">
        <v>1289</v>
      </c>
      <c r="J197" s="206" t="s">
        <v>1366</v>
      </c>
      <c r="O197" s="235">
        <v>44671</v>
      </c>
    </row>
    <row r="198" spans="1:15" ht="97.9" customHeight="1" x14ac:dyDescent="0.2">
      <c r="A198" s="228" t="s">
        <v>854</v>
      </c>
      <c r="B198" s="220">
        <v>6</v>
      </c>
      <c r="C198" s="220" t="s">
        <v>901</v>
      </c>
      <c r="D198" s="220">
        <v>6.2</v>
      </c>
      <c r="E198" s="220" t="s">
        <v>906</v>
      </c>
      <c r="F198" s="220" t="s">
        <v>718</v>
      </c>
      <c r="G198" s="220">
        <v>3</v>
      </c>
      <c r="H198" s="220" t="s">
        <v>911</v>
      </c>
      <c r="I198" s="206" t="s">
        <v>1289</v>
      </c>
      <c r="J198" s="206" t="s">
        <v>1814</v>
      </c>
      <c r="O198" s="235">
        <v>44671</v>
      </c>
    </row>
    <row r="199" spans="1:15" ht="101.45" customHeight="1" x14ac:dyDescent="0.2">
      <c r="A199" s="228" t="s">
        <v>854</v>
      </c>
      <c r="B199" s="220">
        <v>6</v>
      </c>
      <c r="C199" s="220" t="s">
        <v>901</v>
      </c>
      <c r="D199" s="220">
        <v>6.2</v>
      </c>
      <c r="E199" s="220" t="s">
        <v>906</v>
      </c>
      <c r="F199" s="220" t="s">
        <v>718</v>
      </c>
      <c r="G199" s="220">
        <v>4</v>
      </c>
      <c r="H199" s="220" t="s">
        <v>119</v>
      </c>
      <c r="I199" s="206" t="s">
        <v>1289</v>
      </c>
      <c r="J199" s="206" t="s">
        <v>1814</v>
      </c>
      <c r="O199" s="235">
        <v>44671</v>
      </c>
    </row>
    <row r="200" spans="1:15" ht="30" x14ac:dyDescent="0.2">
      <c r="A200" s="228" t="s">
        <v>854</v>
      </c>
      <c r="B200" s="220">
        <v>6</v>
      </c>
      <c r="C200" s="220" t="s">
        <v>901</v>
      </c>
      <c r="D200" s="220">
        <v>6.2</v>
      </c>
      <c r="E200" s="220" t="s">
        <v>906</v>
      </c>
      <c r="F200" s="220" t="s">
        <v>718</v>
      </c>
      <c r="G200" s="220">
        <v>5</v>
      </c>
      <c r="H200" s="220" t="s">
        <v>304</v>
      </c>
      <c r="I200" s="206" t="s">
        <v>1289</v>
      </c>
      <c r="J200" s="206" t="s">
        <v>1367</v>
      </c>
      <c r="O200" s="235">
        <v>44671</v>
      </c>
    </row>
    <row r="201" spans="1:15" ht="60.75" thickBot="1" x14ac:dyDescent="0.25">
      <c r="A201" s="228" t="s">
        <v>854</v>
      </c>
      <c r="B201" s="220">
        <v>6</v>
      </c>
      <c r="C201" s="220" t="s">
        <v>901</v>
      </c>
      <c r="D201" s="220">
        <v>6.2</v>
      </c>
      <c r="E201" s="220" t="s">
        <v>906</v>
      </c>
      <c r="F201" s="220" t="s">
        <v>718</v>
      </c>
      <c r="G201" s="220">
        <v>6</v>
      </c>
      <c r="H201" s="220" t="s">
        <v>306</v>
      </c>
      <c r="I201" s="206" t="s">
        <v>1289</v>
      </c>
      <c r="J201" s="206" t="s">
        <v>1368</v>
      </c>
      <c r="O201" s="235">
        <v>44671</v>
      </c>
    </row>
    <row r="202" spans="1:15" ht="31.5" customHeight="1" thickBot="1" x14ac:dyDescent="0.25">
      <c r="A202" s="222" t="s">
        <v>854</v>
      </c>
      <c r="B202" s="223">
        <v>6</v>
      </c>
      <c r="C202" s="223" t="s">
        <v>901</v>
      </c>
      <c r="D202" s="223">
        <v>6.2</v>
      </c>
      <c r="E202" s="223" t="s">
        <v>906</v>
      </c>
      <c r="F202" s="223" t="s">
        <v>1282</v>
      </c>
      <c r="G202" s="223">
        <v>5</v>
      </c>
      <c r="H202" s="223" t="s">
        <v>718</v>
      </c>
      <c r="I202" s="225"/>
      <c r="O202" s="235">
        <v>44671</v>
      </c>
    </row>
    <row r="203" spans="1:15" ht="60" x14ac:dyDescent="0.2">
      <c r="A203" s="228" t="s">
        <v>854</v>
      </c>
      <c r="B203" s="221">
        <v>6</v>
      </c>
      <c r="C203" s="221" t="s">
        <v>901</v>
      </c>
      <c r="D203" s="221">
        <v>6.3</v>
      </c>
      <c r="E203" s="221" t="s">
        <v>912</v>
      </c>
      <c r="F203" s="221" t="s">
        <v>722</v>
      </c>
      <c r="G203" s="221">
        <v>1</v>
      </c>
      <c r="H203" s="221" t="s">
        <v>913</v>
      </c>
      <c r="I203" s="206" t="s">
        <v>1289</v>
      </c>
      <c r="J203" s="206" t="s">
        <v>1369</v>
      </c>
      <c r="O203" s="235">
        <v>44671</v>
      </c>
    </row>
    <row r="204" spans="1:15" ht="90" x14ac:dyDescent="0.2">
      <c r="A204" s="228" t="s">
        <v>854</v>
      </c>
      <c r="B204" s="219">
        <v>6</v>
      </c>
      <c r="C204" s="219" t="s">
        <v>901</v>
      </c>
      <c r="D204" s="219">
        <v>6.3</v>
      </c>
      <c r="E204" s="219" t="s">
        <v>912</v>
      </c>
      <c r="F204" s="219" t="s">
        <v>720</v>
      </c>
      <c r="G204" s="219">
        <v>1</v>
      </c>
      <c r="H204" s="219" t="s">
        <v>914</v>
      </c>
      <c r="I204" s="206" t="s">
        <v>1289</v>
      </c>
      <c r="J204" s="206" t="s">
        <v>1370</v>
      </c>
      <c r="O204" s="235">
        <v>44671</v>
      </c>
    </row>
    <row r="205" spans="1:15" ht="45" x14ac:dyDescent="0.2">
      <c r="A205" s="228" t="s">
        <v>854</v>
      </c>
      <c r="B205" s="219">
        <v>6</v>
      </c>
      <c r="C205" s="219" t="s">
        <v>901</v>
      </c>
      <c r="D205" s="219">
        <v>6.3</v>
      </c>
      <c r="E205" s="219" t="s">
        <v>912</v>
      </c>
      <c r="F205" s="219" t="s">
        <v>720</v>
      </c>
      <c r="G205" s="219">
        <v>2</v>
      </c>
      <c r="H205" s="219" t="s">
        <v>915</v>
      </c>
      <c r="I205" s="206" t="s">
        <v>1289</v>
      </c>
      <c r="J205" s="206" t="s">
        <v>1371</v>
      </c>
      <c r="O205" s="235">
        <v>44671</v>
      </c>
    </row>
    <row r="206" spans="1:15" ht="60" x14ac:dyDescent="0.2">
      <c r="A206" s="228" t="s">
        <v>854</v>
      </c>
      <c r="B206" s="219">
        <v>6</v>
      </c>
      <c r="C206" s="219" t="s">
        <v>901</v>
      </c>
      <c r="D206" s="219">
        <v>6.3</v>
      </c>
      <c r="E206" s="219" t="s">
        <v>912</v>
      </c>
      <c r="F206" s="219" t="s">
        <v>720</v>
      </c>
      <c r="G206" s="219">
        <v>3</v>
      </c>
      <c r="H206" s="219" t="s">
        <v>916</v>
      </c>
      <c r="I206" s="206" t="s">
        <v>737</v>
      </c>
      <c r="J206" s="206" t="s">
        <v>1372</v>
      </c>
      <c r="O206" s="235">
        <v>44671</v>
      </c>
    </row>
    <row r="207" spans="1:15" ht="45" x14ac:dyDescent="0.2">
      <c r="A207" s="228" t="s">
        <v>854</v>
      </c>
      <c r="B207" s="219">
        <v>6</v>
      </c>
      <c r="C207" s="219" t="s">
        <v>901</v>
      </c>
      <c r="D207" s="219">
        <v>6.3</v>
      </c>
      <c r="E207" s="219" t="s">
        <v>912</v>
      </c>
      <c r="F207" s="219" t="s">
        <v>720</v>
      </c>
      <c r="G207" s="219">
        <v>4</v>
      </c>
      <c r="H207" s="219" t="s">
        <v>917</v>
      </c>
      <c r="I207" s="206" t="s">
        <v>1289</v>
      </c>
      <c r="J207" s="206" t="s">
        <v>1371</v>
      </c>
      <c r="O207" s="235">
        <v>44671</v>
      </c>
    </row>
    <row r="208" spans="1:15" ht="90" x14ac:dyDescent="0.2">
      <c r="A208" s="228" t="s">
        <v>854</v>
      </c>
      <c r="B208" s="219">
        <v>6</v>
      </c>
      <c r="C208" s="219" t="s">
        <v>901</v>
      </c>
      <c r="D208" s="219">
        <v>6.3</v>
      </c>
      <c r="E208" s="219" t="s">
        <v>912</v>
      </c>
      <c r="F208" s="219" t="s">
        <v>720</v>
      </c>
      <c r="G208" s="219">
        <v>5</v>
      </c>
      <c r="H208" s="219" t="s">
        <v>918</v>
      </c>
      <c r="I208" s="206" t="s">
        <v>737</v>
      </c>
      <c r="J208" s="206" t="s">
        <v>1373</v>
      </c>
      <c r="O208" s="235">
        <v>44671</v>
      </c>
    </row>
    <row r="209" spans="1:15" ht="60" x14ac:dyDescent="0.2">
      <c r="A209" s="228" t="s">
        <v>854</v>
      </c>
      <c r="B209" s="220">
        <v>6</v>
      </c>
      <c r="C209" s="220" t="s">
        <v>901</v>
      </c>
      <c r="D209" s="220">
        <v>6.3</v>
      </c>
      <c r="E209" s="220" t="s">
        <v>912</v>
      </c>
      <c r="F209" s="220" t="s">
        <v>718</v>
      </c>
      <c r="G209" s="220">
        <v>1</v>
      </c>
      <c r="H209" s="220" t="s">
        <v>919</v>
      </c>
      <c r="I209" s="206" t="s">
        <v>1289</v>
      </c>
      <c r="J209" s="206" t="s">
        <v>1374</v>
      </c>
      <c r="O209" s="235">
        <v>44671</v>
      </c>
    </row>
    <row r="210" spans="1:15" ht="30.75" thickBot="1" x14ac:dyDescent="0.25">
      <c r="A210" s="228" t="s">
        <v>854</v>
      </c>
      <c r="B210" s="220">
        <v>6</v>
      </c>
      <c r="C210" s="220" t="s">
        <v>901</v>
      </c>
      <c r="D210" s="220">
        <v>6.3</v>
      </c>
      <c r="E210" s="220" t="s">
        <v>912</v>
      </c>
      <c r="F210" s="220" t="s">
        <v>718</v>
      </c>
      <c r="G210" s="220">
        <v>2</v>
      </c>
      <c r="H210" s="220" t="s">
        <v>920</v>
      </c>
      <c r="I210" s="206" t="s">
        <v>737</v>
      </c>
      <c r="J210" s="206" t="s">
        <v>1375</v>
      </c>
      <c r="O210" s="235">
        <v>44671</v>
      </c>
    </row>
    <row r="211" spans="1:15" ht="30.75" thickBot="1" x14ac:dyDescent="0.25">
      <c r="A211" s="222" t="s">
        <v>854</v>
      </c>
      <c r="B211" s="223">
        <v>6</v>
      </c>
      <c r="C211" s="223" t="s">
        <v>901</v>
      </c>
      <c r="D211" s="223">
        <v>6.3</v>
      </c>
      <c r="E211" s="223" t="s">
        <v>912</v>
      </c>
      <c r="F211" s="223" t="s">
        <v>1282</v>
      </c>
      <c r="G211" s="223">
        <v>2</v>
      </c>
      <c r="H211" s="223" t="s">
        <v>721</v>
      </c>
      <c r="I211" s="225"/>
      <c r="O211" s="235">
        <v>44671</v>
      </c>
    </row>
    <row r="212" spans="1:15" x14ac:dyDescent="0.2">
      <c r="A212" s="228" t="s">
        <v>854</v>
      </c>
      <c r="B212" s="221">
        <v>6</v>
      </c>
      <c r="C212" s="221" t="s">
        <v>901</v>
      </c>
      <c r="D212" s="221">
        <v>6.4</v>
      </c>
      <c r="E212" s="221" t="s">
        <v>921</v>
      </c>
      <c r="F212" s="221" t="s">
        <v>722</v>
      </c>
      <c r="G212" s="221" t="s">
        <v>811</v>
      </c>
      <c r="H212" s="221"/>
      <c r="I212" s="206" t="s">
        <v>1300</v>
      </c>
      <c r="O212" s="235">
        <v>44671</v>
      </c>
    </row>
    <row r="213" spans="1:15" ht="30" x14ac:dyDescent="0.2">
      <c r="A213" s="228" t="s">
        <v>854</v>
      </c>
      <c r="B213" s="219">
        <v>6</v>
      </c>
      <c r="C213" s="219" t="s">
        <v>901</v>
      </c>
      <c r="D213" s="219">
        <v>6.4</v>
      </c>
      <c r="E213" s="219" t="s">
        <v>921</v>
      </c>
      <c r="F213" s="219" t="s">
        <v>720</v>
      </c>
      <c r="G213" s="219">
        <v>1</v>
      </c>
      <c r="H213" s="219" t="s">
        <v>922</v>
      </c>
      <c r="I213" s="206" t="s">
        <v>737</v>
      </c>
      <c r="J213" s="206" t="s">
        <v>1376</v>
      </c>
      <c r="O213" s="235">
        <v>44671</v>
      </c>
    </row>
    <row r="214" spans="1:15" ht="75" x14ac:dyDescent="0.2">
      <c r="A214" s="228" t="s">
        <v>854</v>
      </c>
      <c r="B214" s="219">
        <v>6</v>
      </c>
      <c r="C214" s="219" t="s">
        <v>901</v>
      </c>
      <c r="D214" s="219">
        <v>6.4</v>
      </c>
      <c r="E214" s="219" t="s">
        <v>921</v>
      </c>
      <c r="F214" s="219" t="s">
        <v>720</v>
      </c>
      <c r="G214" s="219">
        <v>2</v>
      </c>
      <c r="H214" s="219" t="s">
        <v>923</v>
      </c>
      <c r="I214" s="206" t="s">
        <v>1289</v>
      </c>
      <c r="J214" s="206" t="s">
        <v>1377</v>
      </c>
      <c r="O214" s="235">
        <v>44671</v>
      </c>
    </row>
    <row r="215" spans="1:15" ht="75.75" thickBot="1" x14ac:dyDescent="0.25">
      <c r="A215" s="228" t="s">
        <v>854</v>
      </c>
      <c r="B215" s="220">
        <v>6</v>
      </c>
      <c r="C215" s="220" t="s">
        <v>901</v>
      </c>
      <c r="D215" s="220">
        <v>6.4</v>
      </c>
      <c r="E215" s="220" t="s">
        <v>921</v>
      </c>
      <c r="F215" s="220" t="s">
        <v>718</v>
      </c>
      <c r="G215" s="220">
        <v>1</v>
      </c>
      <c r="H215" s="220" t="s">
        <v>924</v>
      </c>
      <c r="I215" s="206" t="s">
        <v>1289</v>
      </c>
      <c r="J215" s="206" t="s">
        <v>1378</v>
      </c>
      <c r="O215" s="235">
        <v>44671</v>
      </c>
    </row>
    <row r="216" spans="1:15" ht="27" customHeight="1" thickBot="1" x14ac:dyDescent="0.25">
      <c r="A216" s="222" t="s">
        <v>854</v>
      </c>
      <c r="B216" s="223">
        <v>6</v>
      </c>
      <c r="C216" s="223" t="s">
        <v>901</v>
      </c>
      <c r="D216" s="223">
        <v>6.4</v>
      </c>
      <c r="E216" s="223" t="s">
        <v>921</v>
      </c>
      <c r="F216" s="223" t="s">
        <v>1282</v>
      </c>
      <c r="G216" s="223">
        <v>2</v>
      </c>
      <c r="H216" s="223" t="s">
        <v>721</v>
      </c>
      <c r="I216" s="225"/>
      <c r="O216" s="235">
        <v>44671</v>
      </c>
    </row>
    <row r="217" spans="1:15" ht="30" x14ac:dyDescent="0.2">
      <c r="A217" s="228" t="s">
        <v>854</v>
      </c>
      <c r="B217" s="221">
        <v>6</v>
      </c>
      <c r="C217" s="221" t="s">
        <v>901</v>
      </c>
      <c r="D217" s="221">
        <v>6.5</v>
      </c>
      <c r="E217" s="221" t="s">
        <v>925</v>
      </c>
      <c r="F217" s="221" t="s">
        <v>722</v>
      </c>
      <c r="G217" s="221" t="s">
        <v>811</v>
      </c>
      <c r="H217" s="221"/>
      <c r="I217" s="206" t="s">
        <v>1300</v>
      </c>
      <c r="O217" s="235">
        <v>44671</v>
      </c>
    </row>
    <row r="218" spans="1:15" ht="60" x14ac:dyDescent="0.2">
      <c r="A218" s="228" t="s">
        <v>854</v>
      </c>
      <c r="B218" s="219">
        <v>6</v>
      </c>
      <c r="C218" s="219" t="s">
        <v>901</v>
      </c>
      <c r="D218" s="219">
        <v>6.5</v>
      </c>
      <c r="E218" s="219" t="s">
        <v>925</v>
      </c>
      <c r="F218" s="219" t="s">
        <v>720</v>
      </c>
      <c r="G218" s="219">
        <v>1</v>
      </c>
      <c r="H218" s="219" t="s">
        <v>130</v>
      </c>
      <c r="I218" s="206" t="s">
        <v>1289</v>
      </c>
      <c r="J218" s="206" t="s">
        <v>1379</v>
      </c>
      <c r="O218" s="235">
        <v>44671</v>
      </c>
    </row>
    <row r="219" spans="1:15" ht="409.5" x14ac:dyDescent="0.2">
      <c r="A219" s="228" t="s">
        <v>854</v>
      </c>
      <c r="B219" s="219">
        <v>6</v>
      </c>
      <c r="C219" s="219" t="s">
        <v>901</v>
      </c>
      <c r="D219" s="219">
        <v>6.5</v>
      </c>
      <c r="E219" s="219" t="s">
        <v>925</v>
      </c>
      <c r="F219" s="219" t="s">
        <v>720</v>
      </c>
      <c r="G219" s="219" t="s">
        <v>770</v>
      </c>
      <c r="H219" s="219" t="s">
        <v>1281</v>
      </c>
      <c r="I219" s="206" t="s">
        <v>1300</v>
      </c>
      <c r="J219" s="206" t="s">
        <v>1320</v>
      </c>
      <c r="O219" s="235">
        <v>44671</v>
      </c>
    </row>
    <row r="220" spans="1:15" ht="60" x14ac:dyDescent="0.2">
      <c r="A220" s="228" t="s">
        <v>854</v>
      </c>
      <c r="B220" s="220">
        <v>6</v>
      </c>
      <c r="C220" s="220" t="s">
        <v>901</v>
      </c>
      <c r="D220" s="220">
        <v>6.5</v>
      </c>
      <c r="E220" s="220" t="s">
        <v>925</v>
      </c>
      <c r="F220" s="220" t="s">
        <v>718</v>
      </c>
      <c r="G220" s="220">
        <v>1</v>
      </c>
      <c r="H220" s="220" t="s">
        <v>926</v>
      </c>
      <c r="I220" s="206" t="s">
        <v>1289</v>
      </c>
      <c r="J220" s="206" t="s">
        <v>1785</v>
      </c>
      <c r="O220" s="235">
        <v>44671</v>
      </c>
    </row>
    <row r="221" spans="1:15" ht="75" x14ac:dyDescent="0.2">
      <c r="A221" s="228" t="s">
        <v>854</v>
      </c>
      <c r="B221" s="220">
        <v>6</v>
      </c>
      <c r="C221" s="220" t="s">
        <v>901</v>
      </c>
      <c r="D221" s="220">
        <v>6.5</v>
      </c>
      <c r="E221" s="220" t="s">
        <v>925</v>
      </c>
      <c r="F221" s="220" t="s">
        <v>718</v>
      </c>
      <c r="G221" s="220">
        <v>2</v>
      </c>
      <c r="H221" s="220" t="s">
        <v>927</v>
      </c>
      <c r="I221" s="206" t="s">
        <v>1289</v>
      </c>
      <c r="J221" s="206" t="s">
        <v>1380</v>
      </c>
      <c r="O221" s="235">
        <v>44671</v>
      </c>
    </row>
    <row r="222" spans="1:15" ht="30" x14ac:dyDescent="0.2">
      <c r="A222" s="228" t="s">
        <v>854</v>
      </c>
      <c r="B222" s="220">
        <v>6</v>
      </c>
      <c r="C222" s="220" t="s">
        <v>901</v>
      </c>
      <c r="D222" s="220">
        <v>6.5</v>
      </c>
      <c r="E222" s="220" t="s">
        <v>925</v>
      </c>
      <c r="F222" s="220" t="s">
        <v>718</v>
      </c>
      <c r="G222" s="220">
        <v>3</v>
      </c>
      <c r="H222" s="220" t="s">
        <v>928</v>
      </c>
      <c r="I222" s="206" t="s">
        <v>1289</v>
      </c>
      <c r="J222" s="206" t="s">
        <v>1381</v>
      </c>
      <c r="O222" s="235">
        <v>44671</v>
      </c>
    </row>
    <row r="223" spans="1:15" ht="60.75" thickBot="1" x14ac:dyDescent="0.25">
      <c r="A223" s="228" t="s">
        <v>854</v>
      </c>
      <c r="B223" s="220">
        <v>6</v>
      </c>
      <c r="C223" s="220" t="s">
        <v>901</v>
      </c>
      <c r="D223" s="220">
        <v>6.5</v>
      </c>
      <c r="E223" s="220" t="s">
        <v>925</v>
      </c>
      <c r="F223" s="220" t="s">
        <v>718</v>
      </c>
      <c r="G223" s="220">
        <v>4</v>
      </c>
      <c r="H223" s="220" t="s">
        <v>929</v>
      </c>
      <c r="I223" s="206" t="s">
        <v>1289</v>
      </c>
      <c r="J223" s="206" t="s">
        <v>1382</v>
      </c>
      <c r="O223" s="235">
        <v>44671</v>
      </c>
    </row>
    <row r="224" spans="1:15" ht="34.5" customHeight="1" thickBot="1" x14ac:dyDescent="0.25">
      <c r="A224" s="222" t="s">
        <v>854</v>
      </c>
      <c r="B224" s="223">
        <v>6</v>
      </c>
      <c r="C224" s="223" t="s">
        <v>901</v>
      </c>
      <c r="D224" s="223">
        <v>6.5</v>
      </c>
      <c r="E224" s="223" t="s">
        <v>925</v>
      </c>
      <c r="F224" s="223" t="s">
        <v>1282</v>
      </c>
      <c r="G224" s="223">
        <v>5</v>
      </c>
      <c r="H224" s="223" t="s">
        <v>718</v>
      </c>
      <c r="I224" s="225"/>
      <c r="O224" s="235">
        <v>44671</v>
      </c>
    </row>
    <row r="225" spans="1:15" x14ac:dyDescent="0.2">
      <c r="A225" s="228" t="s">
        <v>854</v>
      </c>
      <c r="B225" s="221">
        <v>7</v>
      </c>
      <c r="C225" s="221" t="s">
        <v>930</v>
      </c>
      <c r="D225" s="221">
        <v>7.1</v>
      </c>
      <c r="E225" s="221" t="s">
        <v>930</v>
      </c>
      <c r="F225" s="221" t="s">
        <v>722</v>
      </c>
      <c r="G225" s="221" t="s">
        <v>811</v>
      </c>
      <c r="H225" s="221"/>
      <c r="I225" s="206" t="s">
        <v>1300</v>
      </c>
      <c r="O225" s="235">
        <v>44671</v>
      </c>
    </row>
    <row r="226" spans="1:15" ht="75" x14ac:dyDescent="0.2">
      <c r="A226" s="228" t="s">
        <v>854</v>
      </c>
      <c r="B226" s="219">
        <v>7</v>
      </c>
      <c r="C226" s="219" t="s">
        <v>930</v>
      </c>
      <c r="D226" s="219">
        <v>7.1</v>
      </c>
      <c r="E226" s="219" t="s">
        <v>930</v>
      </c>
      <c r="F226" s="219" t="s">
        <v>720</v>
      </c>
      <c r="G226" s="219">
        <v>1</v>
      </c>
      <c r="H226" s="219" t="s">
        <v>931</v>
      </c>
      <c r="I226" s="206" t="s">
        <v>737</v>
      </c>
      <c r="J226" s="206" t="s">
        <v>1383</v>
      </c>
      <c r="K226" s="206" t="s">
        <v>1815</v>
      </c>
      <c r="L226" s="206" t="s">
        <v>1795</v>
      </c>
      <c r="O226" s="235">
        <v>44671</v>
      </c>
    </row>
    <row r="227" spans="1:15" ht="90" x14ac:dyDescent="0.2">
      <c r="A227" s="228" t="s">
        <v>854</v>
      </c>
      <c r="B227" s="220">
        <v>7</v>
      </c>
      <c r="C227" s="220" t="s">
        <v>930</v>
      </c>
      <c r="D227" s="220">
        <v>7.1</v>
      </c>
      <c r="E227" s="220" t="s">
        <v>930</v>
      </c>
      <c r="F227" s="220" t="s">
        <v>718</v>
      </c>
      <c r="G227" s="220">
        <v>1</v>
      </c>
      <c r="H227" s="220" t="s">
        <v>932</v>
      </c>
      <c r="I227" s="206" t="s">
        <v>1289</v>
      </c>
      <c r="J227" s="206" t="s">
        <v>1384</v>
      </c>
      <c r="O227" s="235">
        <v>44671</v>
      </c>
    </row>
    <row r="228" spans="1:15" ht="30" x14ac:dyDescent="0.2">
      <c r="A228" s="228" t="s">
        <v>854</v>
      </c>
      <c r="B228" s="220">
        <v>7</v>
      </c>
      <c r="C228" s="220" t="s">
        <v>930</v>
      </c>
      <c r="D228" s="220">
        <v>7.1</v>
      </c>
      <c r="E228" s="220" t="s">
        <v>930</v>
      </c>
      <c r="F228" s="220" t="s">
        <v>718</v>
      </c>
      <c r="G228" s="220">
        <v>2</v>
      </c>
      <c r="H228" s="220" t="s">
        <v>933</v>
      </c>
      <c r="I228" s="206" t="s">
        <v>1289</v>
      </c>
      <c r="J228" s="206" t="s">
        <v>1385</v>
      </c>
      <c r="O228" s="235">
        <v>44671</v>
      </c>
    </row>
    <row r="229" spans="1:15" ht="45" x14ac:dyDescent="0.2">
      <c r="A229" s="228" t="s">
        <v>854</v>
      </c>
      <c r="B229" s="220">
        <v>7</v>
      </c>
      <c r="C229" s="220" t="s">
        <v>930</v>
      </c>
      <c r="D229" s="220">
        <v>7.1</v>
      </c>
      <c r="E229" s="220" t="s">
        <v>930</v>
      </c>
      <c r="F229" s="220" t="s">
        <v>718</v>
      </c>
      <c r="G229" s="220">
        <v>3</v>
      </c>
      <c r="H229" s="220" t="s">
        <v>934</v>
      </c>
      <c r="I229" s="206" t="s">
        <v>1289</v>
      </c>
      <c r="J229" s="206" t="s">
        <v>1385</v>
      </c>
      <c r="O229" s="235">
        <v>44671</v>
      </c>
    </row>
    <row r="230" spans="1:15" ht="60" x14ac:dyDescent="0.2">
      <c r="A230" s="228" t="s">
        <v>854</v>
      </c>
      <c r="B230" s="220">
        <v>7</v>
      </c>
      <c r="C230" s="220" t="s">
        <v>930</v>
      </c>
      <c r="D230" s="220">
        <v>7.1</v>
      </c>
      <c r="E230" s="220" t="s">
        <v>930</v>
      </c>
      <c r="F230" s="220" t="s">
        <v>718</v>
      </c>
      <c r="G230" s="220">
        <v>4</v>
      </c>
      <c r="H230" s="220" t="s">
        <v>935</v>
      </c>
      <c r="I230" s="206" t="s">
        <v>1289</v>
      </c>
      <c r="J230" s="206" t="s">
        <v>1386</v>
      </c>
      <c r="O230" s="235">
        <v>44671</v>
      </c>
    </row>
    <row r="231" spans="1:15" ht="60.75" thickBot="1" x14ac:dyDescent="0.25">
      <c r="A231" s="228" t="s">
        <v>854</v>
      </c>
      <c r="B231" s="220">
        <v>7</v>
      </c>
      <c r="C231" s="220" t="s">
        <v>930</v>
      </c>
      <c r="D231" s="220">
        <v>7.1</v>
      </c>
      <c r="E231" s="220" t="s">
        <v>930</v>
      </c>
      <c r="F231" s="220" t="s">
        <v>718</v>
      </c>
      <c r="G231" s="220">
        <v>5</v>
      </c>
      <c r="H231" s="220" t="s">
        <v>936</v>
      </c>
      <c r="I231" s="206" t="s">
        <v>737</v>
      </c>
      <c r="J231" s="206" t="s">
        <v>1288</v>
      </c>
      <c r="K231" s="206" t="s">
        <v>1815</v>
      </c>
      <c r="L231" s="206" t="s">
        <v>1795</v>
      </c>
      <c r="O231" s="235">
        <v>44671</v>
      </c>
    </row>
    <row r="232" spans="1:15" ht="27" customHeight="1" thickBot="1" x14ac:dyDescent="0.25">
      <c r="A232" s="222" t="s">
        <v>854</v>
      </c>
      <c r="B232" s="223">
        <v>7</v>
      </c>
      <c r="C232" s="223" t="s">
        <v>930</v>
      </c>
      <c r="D232" s="223">
        <v>7.1</v>
      </c>
      <c r="E232" s="223" t="s">
        <v>930</v>
      </c>
      <c r="F232" s="223" t="s">
        <v>1282</v>
      </c>
      <c r="G232" s="223">
        <v>1</v>
      </c>
      <c r="H232" s="223" t="s">
        <v>722</v>
      </c>
      <c r="I232" s="225"/>
      <c r="O232" s="235">
        <v>44671</v>
      </c>
    </row>
    <row r="233" spans="1:15" ht="30" x14ac:dyDescent="0.2">
      <c r="A233" s="228" t="s">
        <v>854</v>
      </c>
      <c r="B233" s="221">
        <v>8</v>
      </c>
      <c r="C233" s="221" t="s">
        <v>259</v>
      </c>
      <c r="D233" s="221">
        <v>8.1</v>
      </c>
      <c r="E233" s="221" t="s">
        <v>937</v>
      </c>
      <c r="F233" s="221" t="s">
        <v>722</v>
      </c>
      <c r="G233" s="221">
        <v>1</v>
      </c>
      <c r="H233" s="221" t="s">
        <v>938</v>
      </c>
      <c r="I233" s="206" t="s">
        <v>1289</v>
      </c>
      <c r="J233" s="206" t="s">
        <v>1387</v>
      </c>
      <c r="O233" s="235">
        <v>44671</v>
      </c>
    </row>
    <row r="234" spans="1:15" ht="60" x14ac:dyDescent="0.2">
      <c r="A234" s="228" t="s">
        <v>854</v>
      </c>
      <c r="B234" s="221">
        <v>8</v>
      </c>
      <c r="C234" s="221" t="s">
        <v>259</v>
      </c>
      <c r="D234" s="221">
        <v>8.1</v>
      </c>
      <c r="E234" s="221" t="s">
        <v>937</v>
      </c>
      <c r="F234" s="221" t="s">
        <v>722</v>
      </c>
      <c r="G234" s="221">
        <v>2</v>
      </c>
      <c r="H234" s="221" t="s">
        <v>939</v>
      </c>
      <c r="I234" s="206" t="s">
        <v>1289</v>
      </c>
      <c r="J234" s="206" t="s">
        <v>1388</v>
      </c>
      <c r="O234" s="235">
        <v>44671</v>
      </c>
    </row>
    <row r="235" spans="1:15" ht="30" x14ac:dyDescent="0.2">
      <c r="A235" s="228" t="s">
        <v>854</v>
      </c>
      <c r="B235" s="221">
        <v>8</v>
      </c>
      <c r="C235" s="221" t="s">
        <v>259</v>
      </c>
      <c r="D235" s="221">
        <v>8.1</v>
      </c>
      <c r="E235" s="221" t="s">
        <v>937</v>
      </c>
      <c r="F235" s="221" t="s">
        <v>722</v>
      </c>
      <c r="G235" s="221">
        <v>3</v>
      </c>
      <c r="H235" s="221" t="s">
        <v>940</v>
      </c>
      <c r="I235" s="206" t="s">
        <v>1289</v>
      </c>
      <c r="J235" s="206" t="s">
        <v>1389</v>
      </c>
      <c r="O235" s="235">
        <v>44671</v>
      </c>
    </row>
    <row r="236" spans="1:15" ht="45" x14ac:dyDescent="0.2">
      <c r="A236" s="228" t="s">
        <v>854</v>
      </c>
      <c r="B236" s="221">
        <v>8</v>
      </c>
      <c r="C236" s="221" t="s">
        <v>259</v>
      </c>
      <c r="D236" s="221">
        <v>8.1</v>
      </c>
      <c r="E236" s="221" t="s">
        <v>937</v>
      </c>
      <c r="F236" s="221" t="s">
        <v>722</v>
      </c>
      <c r="G236" s="221">
        <v>4</v>
      </c>
      <c r="H236" s="221" t="s">
        <v>941</v>
      </c>
      <c r="I236" s="206" t="s">
        <v>1289</v>
      </c>
      <c r="J236" s="206" t="s">
        <v>1388</v>
      </c>
      <c r="O236" s="235">
        <v>44671</v>
      </c>
    </row>
    <row r="237" spans="1:15" ht="30" x14ac:dyDescent="0.2">
      <c r="A237" s="228" t="s">
        <v>854</v>
      </c>
      <c r="B237" s="221">
        <v>8</v>
      </c>
      <c r="C237" s="221" t="s">
        <v>259</v>
      </c>
      <c r="D237" s="221">
        <v>8.1</v>
      </c>
      <c r="E237" s="221" t="s">
        <v>937</v>
      </c>
      <c r="F237" s="221" t="s">
        <v>722</v>
      </c>
      <c r="G237" s="221">
        <v>5</v>
      </c>
      <c r="H237" s="221" t="s">
        <v>942</v>
      </c>
      <c r="I237" s="206" t="s">
        <v>1289</v>
      </c>
      <c r="J237" s="206" t="s">
        <v>1390</v>
      </c>
      <c r="O237" s="235">
        <v>44671</v>
      </c>
    </row>
    <row r="238" spans="1:15" ht="90" x14ac:dyDescent="0.2">
      <c r="A238" s="228" t="s">
        <v>854</v>
      </c>
      <c r="B238" s="221">
        <v>8</v>
      </c>
      <c r="C238" s="221" t="s">
        <v>259</v>
      </c>
      <c r="D238" s="221">
        <v>8.1</v>
      </c>
      <c r="E238" s="221" t="s">
        <v>937</v>
      </c>
      <c r="F238" s="221" t="s">
        <v>722</v>
      </c>
      <c r="G238" s="221">
        <v>6</v>
      </c>
      <c r="H238" s="221" t="s">
        <v>943</v>
      </c>
      <c r="I238" s="206" t="s">
        <v>1289</v>
      </c>
      <c r="J238" s="206" t="s">
        <v>1391</v>
      </c>
      <c r="O238" s="235">
        <v>44671</v>
      </c>
    </row>
    <row r="239" spans="1:15" ht="60" x14ac:dyDescent="0.2">
      <c r="A239" s="228" t="s">
        <v>854</v>
      </c>
      <c r="B239" s="221">
        <v>8</v>
      </c>
      <c r="C239" s="221" t="s">
        <v>259</v>
      </c>
      <c r="D239" s="221">
        <v>8.1</v>
      </c>
      <c r="E239" s="221" t="s">
        <v>937</v>
      </c>
      <c r="F239" s="221" t="s">
        <v>722</v>
      </c>
      <c r="G239" s="221">
        <v>7</v>
      </c>
      <c r="H239" s="221" t="s">
        <v>944</v>
      </c>
      <c r="I239" s="206" t="s">
        <v>1289</v>
      </c>
      <c r="J239" s="206" t="s">
        <v>1392</v>
      </c>
      <c r="O239" s="235">
        <v>44671</v>
      </c>
    </row>
    <row r="240" spans="1:15" ht="210" x14ac:dyDescent="0.2">
      <c r="A240" s="228" t="s">
        <v>854</v>
      </c>
      <c r="B240" s="219">
        <v>8</v>
      </c>
      <c r="C240" s="219" t="s">
        <v>259</v>
      </c>
      <c r="D240" s="219">
        <v>8.1</v>
      </c>
      <c r="E240" s="219" t="s">
        <v>937</v>
      </c>
      <c r="F240" s="219" t="s">
        <v>720</v>
      </c>
      <c r="G240" s="219" t="s">
        <v>770</v>
      </c>
      <c r="H240" s="219" t="s">
        <v>945</v>
      </c>
      <c r="I240" s="206" t="s">
        <v>1300</v>
      </c>
      <c r="J240" s="206" t="s">
        <v>1393</v>
      </c>
      <c r="O240" s="235">
        <v>44671</v>
      </c>
    </row>
    <row r="241" spans="1:15" ht="21.4" customHeight="1" thickBot="1" x14ac:dyDescent="0.25">
      <c r="A241" s="228" t="s">
        <v>854</v>
      </c>
      <c r="B241" s="220">
        <v>8</v>
      </c>
      <c r="C241" s="220" t="s">
        <v>259</v>
      </c>
      <c r="D241" s="220">
        <v>8.1</v>
      </c>
      <c r="E241" s="220" t="s">
        <v>937</v>
      </c>
      <c r="F241" s="220" t="s">
        <v>718</v>
      </c>
      <c r="G241" s="220" t="s">
        <v>811</v>
      </c>
      <c r="H241" s="220"/>
      <c r="I241" s="206" t="s">
        <v>1300</v>
      </c>
      <c r="O241" s="235">
        <v>44671</v>
      </c>
    </row>
    <row r="242" spans="1:15" ht="33.4" customHeight="1" thickBot="1" x14ac:dyDescent="0.25">
      <c r="A242" s="222" t="s">
        <v>854</v>
      </c>
      <c r="B242" s="223">
        <v>8</v>
      </c>
      <c r="C242" s="223" t="s">
        <v>259</v>
      </c>
      <c r="D242" s="223">
        <v>8.1</v>
      </c>
      <c r="E242" s="223" t="s">
        <v>937</v>
      </c>
      <c r="F242" s="223" t="s">
        <v>1282</v>
      </c>
      <c r="G242" s="223">
        <v>5</v>
      </c>
      <c r="H242" s="223" t="s">
        <v>718</v>
      </c>
      <c r="I242" s="225"/>
      <c r="O242" s="235">
        <v>44671</v>
      </c>
    </row>
    <row r="243" spans="1:15" ht="60" x14ac:dyDescent="0.2">
      <c r="A243" s="228" t="s">
        <v>854</v>
      </c>
      <c r="B243" s="221">
        <v>8</v>
      </c>
      <c r="C243" s="221" t="s">
        <v>259</v>
      </c>
      <c r="D243" s="221">
        <v>8.1999999999999993</v>
      </c>
      <c r="E243" s="221" t="s">
        <v>946</v>
      </c>
      <c r="F243" s="221" t="s">
        <v>722</v>
      </c>
      <c r="G243" s="221">
        <v>1</v>
      </c>
      <c r="H243" s="221" t="s">
        <v>947</v>
      </c>
      <c r="I243" s="206" t="s">
        <v>1289</v>
      </c>
      <c r="J243" s="206" t="s">
        <v>1394</v>
      </c>
      <c r="O243" s="235">
        <v>44671</v>
      </c>
    </row>
    <row r="244" spans="1:15" ht="60" x14ac:dyDescent="0.2">
      <c r="A244" s="228" t="s">
        <v>854</v>
      </c>
      <c r="B244" s="221">
        <v>8</v>
      </c>
      <c r="C244" s="221" t="s">
        <v>259</v>
      </c>
      <c r="D244" s="221">
        <v>8.1999999999999993</v>
      </c>
      <c r="E244" s="221" t="s">
        <v>946</v>
      </c>
      <c r="F244" s="221" t="s">
        <v>722</v>
      </c>
      <c r="G244" s="221">
        <v>2</v>
      </c>
      <c r="H244" s="221" t="s">
        <v>939</v>
      </c>
      <c r="I244" s="206" t="s">
        <v>1289</v>
      </c>
      <c r="J244" s="206" t="s">
        <v>1394</v>
      </c>
      <c r="O244" s="235">
        <v>44671</v>
      </c>
    </row>
    <row r="245" spans="1:15" ht="30" x14ac:dyDescent="0.2">
      <c r="A245" s="228" t="s">
        <v>854</v>
      </c>
      <c r="B245" s="219">
        <v>8</v>
      </c>
      <c r="C245" s="219" t="s">
        <v>259</v>
      </c>
      <c r="D245" s="219">
        <v>8.1999999999999993</v>
      </c>
      <c r="E245" s="219" t="s">
        <v>946</v>
      </c>
      <c r="F245" s="219" t="s">
        <v>720</v>
      </c>
      <c r="G245" s="219">
        <v>1</v>
      </c>
      <c r="H245" s="219" t="s">
        <v>948</v>
      </c>
      <c r="I245" s="206" t="s">
        <v>1289</v>
      </c>
      <c r="J245" s="206" t="s">
        <v>1395</v>
      </c>
      <c r="O245" s="235">
        <v>44671</v>
      </c>
    </row>
    <row r="246" spans="1:15" ht="45" x14ac:dyDescent="0.2">
      <c r="A246" s="228" t="s">
        <v>854</v>
      </c>
      <c r="B246" s="219">
        <v>8</v>
      </c>
      <c r="C246" s="219" t="s">
        <v>259</v>
      </c>
      <c r="D246" s="219">
        <v>8.1999999999999993</v>
      </c>
      <c r="E246" s="219" t="s">
        <v>946</v>
      </c>
      <c r="F246" s="219" t="s">
        <v>720</v>
      </c>
      <c r="G246" s="219">
        <v>2</v>
      </c>
      <c r="H246" s="219" t="s">
        <v>949</v>
      </c>
      <c r="I246" s="206" t="s">
        <v>737</v>
      </c>
      <c r="J246" s="206" t="s">
        <v>1396</v>
      </c>
      <c r="O246" s="235">
        <v>44671</v>
      </c>
    </row>
    <row r="247" spans="1:15" ht="45" x14ac:dyDescent="0.2">
      <c r="A247" s="228" t="s">
        <v>854</v>
      </c>
      <c r="B247" s="219">
        <v>8</v>
      </c>
      <c r="C247" s="219" t="s">
        <v>259</v>
      </c>
      <c r="D247" s="219">
        <v>8.1999999999999993</v>
      </c>
      <c r="E247" s="219" t="s">
        <v>946</v>
      </c>
      <c r="F247" s="219" t="s">
        <v>720</v>
      </c>
      <c r="G247" s="219">
        <v>3</v>
      </c>
      <c r="H247" s="219" t="s">
        <v>950</v>
      </c>
      <c r="I247" s="206" t="s">
        <v>737</v>
      </c>
      <c r="J247" s="206" t="s">
        <v>1396</v>
      </c>
      <c r="O247" s="235">
        <v>44671</v>
      </c>
    </row>
    <row r="248" spans="1:15" ht="174" customHeight="1" x14ac:dyDescent="0.2">
      <c r="A248" s="228" t="s">
        <v>854</v>
      </c>
      <c r="B248" s="219">
        <v>8</v>
      </c>
      <c r="C248" s="219" t="s">
        <v>259</v>
      </c>
      <c r="D248" s="219">
        <v>8.1999999999999993</v>
      </c>
      <c r="E248" s="219" t="s">
        <v>946</v>
      </c>
      <c r="F248" s="219" t="s">
        <v>720</v>
      </c>
      <c r="G248" s="219" t="s">
        <v>874</v>
      </c>
      <c r="H248" s="219" t="s">
        <v>951</v>
      </c>
      <c r="I248" s="206" t="s">
        <v>1289</v>
      </c>
      <c r="J248" s="206" t="s">
        <v>1397</v>
      </c>
      <c r="O248" s="235">
        <v>44671</v>
      </c>
    </row>
    <row r="249" spans="1:15" ht="75" x14ac:dyDescent="0.2">
      <c r="A249" s="228" t="s">
        <v>854</v>
      </c>
      <c r="B249" s="220">
        <v>8</v>
      </c>
      <c r="C249" s="220" t="s">
        <v>259</v>
      </c>
      <c r="D249" s="220">
        <v>8.1999999999999993</v>
      </c>
      <c r="E249" s="220" t="s">
        <v>946</v>
      </c>
      <c r="F249" s="220" t="s">
        <v>718</v>
      </c>
      <c r="G249" s="220">
        <v>1</v>
      </c>
      <c r="H249" s="220" t="s">
        <v>952</v>
      </c>
      <c r="I249" s="206" t="s">
        <v>737</v>
      </c>
      <c r="J249" s="206" t="s">
        <v>1396</v>
      </c>
      <c r="O249" s="235">
        <v>44671</v>
      </c>
    </row>
    <row r="250" spans="1:15" ht="45" x14ac:dyDescent="0.2">
      <c r="A250" s="228" t="s">
        <v>854</v>
      </c>
      <c r="B250" s="220">
        <v>8</v>
      </c>
      <c r="C250" s="220" t="s">
        <v>259</v>
      </c>
      <c r="D250" s="220">
        <v>8.1999999999999993</v>
      </c>
      <c r="E250" s="220" t="s">
        <v>946</v>
      </c>
      <c r="F250" s="220" t="s">
        <v>718</v>
      </c>
      <c r="G250" s="220">
        <v>2</v>
      </c>
      <c r="H250" s="220" t="s">
        <v>953</v>
      </c>
      <c r="I250" s="206" t="s">
        <v>737</v>
      </c>
      <c r="J250" s="206" t="s">
        <v>1285</v>
      </c>
      <c r="O250" s="235">
        <v>44671</v>
      </c>
    </row>
    <row r="251" spans="1:15" ht="45.75" thickBot="1" x14ac:dyDescent="0.25">
      <c r="A251" s="228" t="s">
        <v>854</v>
      </c>
      <c r="B251" s="220">
        <v>8</v>
      </c>
      <c r="C251" s="220" t="s">
        <v>259</v>
      </c>
      <c r="D251" s="220">
        <v>8.1999999999999993</v>
      </c>
      <c r="E251" s="220" t="s">
        <v>946</v>
      </c>
      <c r="F251" s="220" t="s">
        <v>718</v>
      </c>
      <c r="G251" s="220">
        <v>3</v>
      </c>
      <c r="H251" s="220" t="s">
        <v>954</v>
      </c>
      <c r="I251" s="206" t="s">
        <v>737</v>
      </c>
      <c r="J251" s="206" t="s">
        <v>1398</v>
      </c>
      <c r="O251" s="235">
        <v>44671</v>
      </c>
    </row>
    <row r="252" spans="1:15" ht="25.5" customHeight="1" thickBot="1" x14ac:dyDescent="0.25">
      <c r="A252" s="222" t="s">
        <v>854</v>
      </c>
      <c r="B252" s="223">
        <v>8</v>
      </c>
      <c r="C252" s="223" t="s">
        <v>259</v>
      </c>
      <c r="D252" s="223">
        <v>8.1999999999999993</v>
      </c>
      <c r="E252" s="223" t="s">
        <v>946</v>
      </c>
      <c r="F252" s="223" t="s">
        <v>1282</v>
      </c>
      <c r="G252" s="223">
        <v>2</v>
      </c>
      <c r="H252" s="223" t="s">
        <v>721</v>
      </c>
      <c r="I252" s="225"/>
      <c r="O252" s="235">
        <v>44671</v>
      </c>
    </row>
    <row r="253" spans="1:15" ht="45" x14ac:dyDescent="0.2">
      <c r="A253" s="228" t="s">
        <v>854</v>
      </c>
      <c r="B253" s="221">
        <v>8</v>
      </c>
      <c r="C253" s="221" t="s">
        <v>259</v>
      </c>
      <c r="D253" s="221">
        <v>8.3000000000000007</v>
      </c>
      <c r="E253" s="221" t="s">
        <v>955</v>
      </c>
      <c r="F253" s="221" t="s">
        <v>722</v>
      </c>
      <c r="G253" s="221">
        <v>1</v>
      </c>
      <c r="H253" s="221" t="s">
        <v>956</v>
      </c>
      <c r="I253" s="206" t="s">
        <v>1289</v>
      </c>
      <c r="J253" s="206" t="s">
        <v>1399</v>
      </c>
      <c r="O253" s="235">
        <v>44671</v>
      </c>
    </row>
    <row r="254" spans="1:15" ht="75" x14ac:dyDescent="0.2">
      <c r="A254" s="228" t="s">
        <v>854</v>
      </c>
      <c r="B254" s="221">
        <v>8</v>
      </c>
      <c r="C254" s="221" t="s">
        <v>259</v>
      </c>
      <c r="D254" s="221">
        <v>8.3000000000000007</v>
      </c>
      <c r="E254" s="221" t="s">
        <v>955</v>
      </c>
      <c r="F254" s="221" t="s">
        <v>722</v>
      </c>
      <c r="G254" s="221">
        <v>2</v>
      </c>
      <c r="H254" s="221" t="s">
        <v>957</v>
      </c>
      <c r="I254" s="206" t="s">
        <v>1289</v>
      </c>
      <c r="J254" s="206" t="s">
        <v>1400</v>
      </c>
      <c r="O254" s="235">
        <v>44671</v>
      </c>
    </row>
    <row r="255" spans="1:15" ht="45" x14ac:dyDescent="0.2">
      <c r="A255" s="228" t="s">
        <v>854</v>
      </c>
      <c r="B255" s="221">
        <v>8</v>
      </c>
      <c r="C255" s="221" t="s">
        <v>259</v>
      </c>
      <c r="D255" s="221">
        <v>8.3000000000000007</v>
      </c>
      <c r="E255" s="221" t="s">
        <v>955</v>
      </c>
      <c r="F255" s="221" t="s">
        <v>722</v>
      </c>
      <c r="G255" s="221">
        <v>3</v>
      </c>
      <c r="H255" s="221" t="s">
        <v>958</v>
      </c>
      <c r="I255" s="206" t="s">
        <v>1289</v>
      </c>
      <c r="J255" s="206" t="s">
        <v>1400</v>
      </c>
      <c r="O255" s="235">
        <v>44671</v>
      </c>
    </row>
    <row r="256" spans="1:15" ht="60" x14ac:dyDescent="0.2">
      <c r="A256" s="228" t="s">
        <v>854</v>
      </c>
      <c r="B256" s="219">
        <v>8</v>
      </c>
      <c r="C256" s="219" t="s">
        <v>259</v>
      </c>
      <c r="D256" s="219">
        <v>8.3000000000000007</v>
      </c>
      <c r="E256" s="219" t="s">
        <v>955</v>
      </c>
      <c r="F256" s="219" t="s">
        <v>720</v>
      </c>
      <c r="G256" s="219">
        <v>1</v>
      </c>
      <c r="H256" s="219" t="s">
        <v>959</v>
      </c>
      <c r="I256" s="206" t="s">
        <v>737</v>
      </c>
      <c r="J256" s="206" t="s">
        <v>1396</v>
      </c>
      <c r="O256" s="235">
        <v>44671</v>
      </c>
    </row>
    <row r="257" spans="1:15" ht="60" x14ac:dyDescent="0.2">
      <c r="A257" s="228" t="s">
        <v>854</v>
      </c>
      <c r="B257" s="219">
        <v>8</v>
      </c>
      <c r="C257" s="219" t="s">
        <v>259</v>
      </c>
      <c r="D257" s="219">
        <v>8.3000000000000007</v>
      </c>
      <c r="E257" s="219" t="s">
        <v>955</v>
      </c>
      <c r="F257" s="219" t="s">
        <v>720</v>
      </c>
      <c r="G257" s="219">
        <v>2</v>
      </c>
      <c r="H257" s="219" t="s">
        <v>960</v>
      </c>
      <c r="I257" s="206" t="s">
        <v>1289</v>
      </c>
      <c r="J257" s="206" t="s">
        <v>1401</v>
      </c>
      <c r="O257" s="235">
        <v>44671</v>
      </c>
    </row>
    <row r="258" spans="1:15" ht="75" x14ac:dyDescent="0.2">
      <c r="A258" s="228" t="s">
        <v>854</v>
      </c>
      <c r="B258" s="219">
        <v>8</v>
      </c>
      <c r="C258" s="219" t="s">
        <v>259</v>
      </c>
      <c r="D258" s="219">
        <v>8.3000000000000007</v>
      </c>
      <c r="E258" s="219" t="s">
        <v>955</v>
      </c>
      <c r="F258" s="219" t="s">
        <v>720</v>
      </c>
      <c r="G258" s="219">
        <v>3</v>
      </c>
      <c r="H258" s="219" t="s">
        <v>961</v>
      </c>
      <c r="I258" s="206" t="s">
        <v>737</v>
      </c>
      <c r="J258" s="206" t="s">
        <v>1398</v>
      </c>
      <c r="O258" s="235">
        <v>44671</v>
      </c>
    </row>
    <row r="259" spans="1:15" ht="105" x14ac:dyDescent="0.2">
      <c r="A259" s="228" t="s">
        <v>854</v>
      </c>
      <c r="B259" s="220">
        <v>8</v>
      </c>
      <c r="C259" s="220" t="s">
        <v>259</v>
      </c>
      <c r="D259" s="220">
        <v>8.3000000000000007</v>
      </c>
      <c r="E259" s="220" t="s">
        <v>955</v>
      </c>
      <c r="F259" s="220" t="s">
        <v>718</v>
      </c>
      <c r="G259" s="220">
        <v>1</v>
      </c>
      <c r="H259" s="220" t="s">
        <v>962</v>
      </c>
      <c r="I259" s="206" t="s">
        <v>1289</v>
      </c>
      <c r="J259" s="206" t="s">
        <v>1402</v>
      </c>
      <c r="O259" s="235">
        <v>44671</v>
      </c>
    </row>
    <row r="260" spans="1:15" ht="75" x14ac:dyDescent="0.2">
      <c r="A260" s="228" t="s">
        <v>854</v>
      </c>
      <c r="B260" s="220">
        <v>8</v>
      </c>
      <c r="C260" s="220" t="s">
        <v>259</v>
      </c>
      <c r="D260" s="220">
        <v>8.3000000000000007</v>
      </c>
      <c r="E260" s="220" t="s">
        <v>955</v>
      </c>
      <c r="F260" s="220" t="s">
        <v>718</v>
      </c>
      <c r="G260" s="220">
        <v>2</v>
      </c>
      <c r="H260" s="220" t="s">
        <v>963</v>
      </c>
      <c r="I260" s="206" t="s">
        <v>1289</v>
      </c>
      <c r="J260" s="206" t="s">
        <v>1402</v>
      </c>
      <c r="O260" s="235">
        <v>44671</v>
      </c>
    </row>
    <row r="261" spans="1:15" ht="90" x14ac:dyDescent="0.2">
      <c r="A261" s="228" t="s">
        <v>854</v>
      </c>
      <c r="B261" s="220">
        <v>8</v>
      </c>
      <c r="C261" s="220" t="s">
        <v>259</v>
      </c>
      <c r="D261" s="220">
        <v>8.3000000000000007</v>
      </c>
      <c r="E261" s="220" t="s">
        <v>955</v>
      </c>
      <c r="F261" s="220" t="s">
        <v>718</v>
      </c>
      <c r="G261" s="220">
        <v>3</v>
      </c>
      <c r="H261" s="220" t="s">
        <v>964</v>
      </c>
      <c r="I261" s="206" t="s">
        <v>737</v>
      </c>
      <c r="J261" s="206" t="s">
        <v>1398</v>
      </c>
      <c r="O261" s="235">
        <v>44671</v>
      </c>
    </row>
    <row r="262" spans="1:15" ht="60" x14ac:dyDescent="0.2">
      <c r="A262" s="228" t="s">
        <v>854</v>
      </c>
      <c r="B262" s="220">
        <v>8</v>
      </c>
      <c r="C262" s="220" t="s">
        <v>259</v>
      </c>
      <c r="D262" s="220">
        <v>8.3000000000000007</v>
      </c>
      <c r="E262" s="220" t="s">
        <v>955</v>
      </c>
      <c r="F262" s="220" t="s">
        <v>718</v>
      </c>
      <c r="G262" s="220">
        <v>4</v>
      </c>
      <c r="H262" s="220" t="s">
        <v>965</v>
      </c>
      <c r="I262" s="206" t="s">
        <v>737</v>
      </c>
      <c r="J262" s="206" t="s">
        <v>1288</v>
      </c>
      <c r="O262" s="235">
        <v>44671</v>
      </c>
    </row>
    <row r="263" spans="1:15" ht="45" x14ac:dyDescent="0.2">
      <c r="A263" s="228" t="s">
        <v>854</v>
      </c>
      <c r="B263" s="220">
        <v>8</v>
      </c>
      <c r="C263" s="220" t="s">
        <v>259</v>
      </c>
      <c r="D263" s="220">
        <v>8.3000000000000007</v>
      </c>
      <c r="E263" s="220" t="s">
        <v>955</v>
      </c>
      <c r="F263" s="220" t="s">
        <v>718</v>
      </c>
      <c r="G263" s="220">
        <v>5</v>
      </c>
      <c r="H263" s="220" t="s">
        <v>966</v>
      </c>
      <c r="I263" s="206" t="s">
        <v>1289</v>
      </c>
      <c r="J263" s="206" t="s">
        <v>1403</v>
      </c>
      <c r="O263" s="235">
        <v>44671</v>
      </c>
    </row>
    <row r="264" spans="1:15" ht="30.75" thickBot="1" x14ac:dyDescent="0.25">
      <c r="A264" s="228" t="s">
        <v>854</v>
      </c>
      <c r="B264" s="220">
        <v>8</v>
      </c>
      <c r="C264" s="220" t="s">
        <v>259</v>
      </c>
      <c r="D264" s="220">
        <v>8.3000000000000007</v>
      </c>
      <c r="E264" s="220" t="s">
        <v>955</v>
      </c>
      <c r="F264" s="220" t="s">
        <v>718</v>
      </c>
      <c r="G264" s="220">
        <v>6</v>
      </c>
      <c r="H264" s="220" t="s">
        <v>967</v>
      </c>
      <c r="I264" s="206" t="s">
        <v>1289</v>
      </c>
      <c r="J264" s="206" t="s">
        <v>1404</v>
      </c>
      <c r="O264" s="235">
        <v>44671</v>
      </c>
    </row>
    <row r="265" spans="1:15" ht="28.5" customHeight="1" thickBot="1" x14ac:dyDescent="0.25">
      <c r="A265" s="222" t="s">
        <v>854</v>
      </c>
      <c r="B265" s="223">
        <v>8</v>
      </c>
      <c r="C265" s="223" t="s">
        <v>259</v>
      </c>
      <c r="D265" s="223">
        <v>8.3000000000000007</v>
      </c>
      <c r="E265" s="223" t="s">
        <v>955</v>
      </c>
      <c r="F265" s="223" t="s">
        <v>1282</v>
      </c>
      <c r="G265" s="223">
        <v>1</v>
      </c>
      <c r="H265" s="223" t="s">
        <v>722</v>
      </c>
      <c r="I265" s="225"/>
      <c r="O265" s="235">
        <v>44671</v>
      </c>
    </row>
    <row r="266" spans="1:15" ht="75" x14ac:dyDescent="0.2">
      <c r="A266" s="228" t="s">
        <v>854</v>
      </c>
      <c r="B266" s="221">
        <v>8</v>
      </c>
      <c r="C266" s="221" t="s">
        <v>259</v>
      </c>
      <c r="D266" s="221">
        <v>8.4</v>
      </c>
      <c r="E266" s="221" t="s">
        <v>968</v>
      </c>
      <c r="F266" s="221" t="s">
        <v>722</v>
      </c>
      <c r="G266" s="221">
        <v>1</v>
      </c>
      <c r="H266" s="221" t="s">
        <v>969</v>
      </c>
      <c r="I266" s="206" t="s">
        <v>1289</v>
      </c>
      <c r="J266" s="206" t="s">
        <v>1405</v>
      </c>
      <c r="O266" s="235">
        <v>44671</v>
      </c>
    </row>
    <row r="267" spans="1:15" ht="60" x14ac:dyDescent="0.2">
      <c r="A267" s="228" t="s">
        <v>854</v>
      </c>
      <c r="B267" s="221">
        <v>8</v>
      </c>
      <c r="C267" s="221" t="s">
        <v>259</v>
      </c>
      <c r="D267" s="221">
        <v>8.4</v>
      </c>
      <c r="E267" s="221" t="s">
        <v>968</v>
      </c>
      <c r="F267" s="221" t="s">
        <v>722</v>
      </c>
      <c r="G267" s="221">
        <v>2</v>
      </c>
      <c r="H267" s="221" t="s">
        <v>970</v>
      </c>
      <c r="I267" s="206" t="s">
        <v>1289</v>
      </c>
      <c r="J267" s="206" t="s">
        <v>1405</v>
      </c>
      <c r="O267" s="235">
        <v>44671</v>
      </c>
    </row>
    <row r="268" spans="1:15" ht="60" x14ac:dyDescent="0.2">
      <c r="A268" s="228" t="s">
        <v>854</v>
      </c>
      <c r="B268" s="219">
        <v>8</v>
      </c>
      <c r="C268" s="219" t="s">
        <v>259</v>
      </c>
      <c r="D268" s="219">
        <v>8.4</v>
      </c>
      <c r="E268" s="219" t="s">
        <v>968</v>
      </c>
      <c r="F268" s="219" t="s">
        <v>720</v>
      </c>
      <c r="G268" s="219">
        <v>1</v>
      </c>
      <c r="H268" s="219" t="s">
        <v>971</v>
      </c>
      <c r="I268" s="206" t="s">
        <v>1289</v>
      </c>
      <c r="J268" s="206" t="s">
        <v>1405</v>
      </c>
      <c r="O268" s="235">
        <v>44671</v>
      </c>
    </row>
    <row r="269" spans="1:15" ht="60" x14ac:dyDescent="0.2">
      <c r="A269" s="228" t="s">
        <v>854</v>
      </c>
      <c r="B269" s="219">
        <v>8</v>
      </c>
      <c r="C269" s="219" t="s">
        <v>259</v>
      </c>
      <c r="D269" s="219">
        <v>8.4</v>
      </c>
      <c r="E269" s="219" t="s">
        <v>968</v>
      </c>
      <c r="F269" s="219" t="s">
        <v>720</v>
      </c>
      <c r="G269" s="219">
        <v>2</v>
      </c>
      <c r="H269" s="219" t="s">
        <v>972</v>
      </c>
      <c r="I269" s="206" t="s">
        <v>1289</v>
      </c>
      <c r="J269" s="206" t="s">
        <v>1405</v>
      </c>
      <c r="O269" s="235">
        <v>44671</v>
      </c>
    </row>
    <row r="270" spans="1:15" ht="30.75" thickBot="1" x14ac:dyDescent="0.25">
      <c r="A270" s="228" t="s">
        <v>854</v>
      </c>
      <c r="B270" s="220">
        <v>8</v>
      </c>
      <c r="C270" s="220" t="s">
        <v>259</v>
      </c>
      <c r="D270" s="220">
        <v>8.4</v>
      </c>
      <c r="E270" s="220" t="s">
        <v>968</v>
      </c>
      <c r="F270" s="220" t="s">
        <v>718</v>
      </c>
      <c r="G270" s="220">
        <v>1</v>
      </c>
      <c r="H270" s="220" t="s">
        <v>973</v>
      </c>
      <c r="I270" s="206" t="s">
        <v>1289</v>
      </c>
      <c r="J270" s="206" t="s">
        <v>1406</v>
      </c>
      <c r="O270" s="235">
        <v>44671</v>
      </c>
    </row>
    <row r="271" spans="1:15" ht="39" customHeight="1" thickBot="1" x14ac:dyDescent="0.25">
      <c r="A271" s="222" t="s">
        <v>854</v>
      </c>
      <c r="B271" s="223">
        <v>8</v>
      </c>
      <c r="C271" s="223" t="s">
        <v>259</v>
      </c>
      <c r="D271" s="223">
        <v>8.4</v>
      </c>
      <c r="E271" s="223" t="s">
        <v>968</v>
      </c>
      <c r="F271" s="223" t="s">
        <v>1282</v>
      </c>
      <c r="G271" s="223">
        <v>5</v>
      </c>
      <c r="H271" s="223" t="s">
        <v>718</v>
      </c>
      <c r="I271" s="225"/>
      <c r="O271" s="235">
        <v>44671</v>
      </c>
    </row>
    <row r="272" spans="1:15" ht="22.9" customHeight="1" x14ac:dyDescent="0.2">
      <c r="A272" s="228" t="s">
        <v>854</v>
      </c>
      <c r="B272" s="221">
        <v>9</v>
      </c>
      <c r="C272" s="221" t="s">
        <v>974</v>
      </c>
      <c r="D272" s="221">
        <v>9.1</v>
      </c>
      <c r="E272" s="221" t="s">
        <v>975</v>
      </c>
      <c r="F272" s="221" t="s">
        <v>722</v>
      </c>
      <c r="G272" s="221" t="s">
        <v>811</v>
      </c>
      <c r="H272" s="221"/>
      <c r="I272" s="206" t="s">
        <v>1300</v>
      </c>
      <c r="O272" s="235">
        <v>44671</v>
      </c>
    </row>
    <row r="273" spans="1:15" ht="45" x14ac:dyDescent="0.2">
      <c r="A273" s="228" t="s">
        <v>854</v>
      </c>
      <c r="B273" s="219">
        <v>9</v>
      </c>
      <c r="C273" s="219" t="s">
        <v>974</v>
      </c>
      <c r="D273" s="219">
        <v>9.1</v>
      </c>
      <c r="E273" s="219" t="s">
        <v>975</v>
      </c>
      <c r="F273" s="219" t="s">
        <v>720</v>
      </c>
      <c r="G273" s="219">
        <v>1</v>
      </c>
      <c r="H273" s="219" t="s">
        <v>976</v>
      </c>
      <c r="I273" s="206" t="s">
        <v>1289</v>
      </c>
      <c r="J273" s="206" t="s">
        <v>1407</v>
      </c>
      <c r="O273" s="235">
        <v>44671</v>
      </c>
    </row>
    <row r="274" spans="1:15" ht="60" x14ac:dyDescent="0.2">
      <c r="A274" s="228" t="s">
        <v>854</v>
      </c>
      <c r="B274" s="219">
        <v>9</v>
      </c>
      <c r="C274" s="219" t="s">
        <v>974</v>
      </c>
      <c r="D274" s="219">
        <v>9.1</v>
      </c>
      <c r="E274" s="219" t="s">
        <v>975</v>
      </c>
      <c r="F274" s="219" t="s">
        <v>720</v>
      </c>
      <c r="G274" s="219">
        <v>2</v>
      </c>
      <c r="H274" s="219" t="s">
        <v>977</v>
      </c>
      <c r="I274" s="206" t="s">
        <v>1289</v>
      </c>
      <c r="J274" s="206" t="s">
        <v>1407</v>
      </c>
      <c r="O274" s="235">
        <v>44671</v>
      </c>
    </row>
    <row r="275" spans="1:15" ht="219" customHeight="1" x14ac:dyDescent="0.2">
      <c r="A275" s="228" t="s">
        <v>854</v>
      </c>
      <c r="B275" s="219">
        <v>9</v>
      </c>
      <c r="C275" s="219" t="s">
        <v>974</v>
      </c>
      <c r="D275" s="219">
        <v>9.1</v>
      </c>
      <c r="E275" s="219" t="s">
        <v>975</v>
      </c>
      <c r="F275" s="219" t="s">
        <v>720</v>
      </c>
      <c r="G275" s="219" t="s">
        <v>874</v>
      </c>
      <c r="H275" s="219" t="s">
        <v>978</v>
      </c>
      <c r="I275" s="206" t="s">
        <v>1289</v>
      </c>
      <c r="J275" s="206" t="s">
        <v>1814</v>
      </c>
      <c r="O275" s="235">
        <v>44671</v>
      </c>
    </row>
    <row r="276" spans="1:15" ht="60" x14ac:dyDescent="0.2">
      <c r="A276" s="228" t="s">
        <v>854</v>
      </c>
      <c r="B276" s="220">
        <v>9</v>
      </c>
      <c r="C276" s="220" t="s">
        <v>974</v>
      </c>
      <c r="D276" s="220">
        <v>9.1</v>
      </c>
      <c r="E276" s="220" t="s">
        <v>975</v>
      </c>
      <c r="F276" s="220" t="s">
        <v>718</v>
      </c>
      <c r="G276" s="220">
        <v>1</v>
      </c>
      <c r="H276" s="220" t="s">
        <v>979</v>
      </c>
      <c r="I276" s="206" t="s">
        <v>1289</v>
      </c>
      <c r="J276" s="206" t="s">
        <v>1408</v>
      </c>
      <c r="O276" s="235">
        <v>44671</v>
      </c>
    </row>
    <row r="277" spans="1:15" ht="45.75" thickBot="1" x14ac:dyDescent="0.25">
      <c r="A277" s="228" t="s">
        <v>854</v>
      </c>
      <c r="B277" s="220">
        <v>9</v>
      </c>
      <c r="C277" s="220" t="s">
        <v>974</v>
      </c>
      <c r="D277" s="220">
        <v>9.1</v>
      </c>
      <c r="E277" s="220" t="s">
        <v>975</v>
      </c>
      <c r="F277" s="220" t="s">
        <v>718</v>
      </c>
      <c r="G277" s="220">
        <v>2</v>
      </c>
      <c r="H277" s="220" t="s">
        <v>980</v>
      </c>
      <c r="I277" s="206" t="s">
        <v>1289</v>
      </c>
      <c r="J277" s="206" t="s">
        <v>1802</v>
      </c>
      <c r="O277" s="235">
        <v>44671</v>
      </c>
    </row>
    <row r="278" spans="1:15" ht="39" customHeight="1" thickBot="1" x14ac:dyDescent="0.25">
      <c r="A278" s="222" t="s">
        <v>854</v>
      </c>
      <c r="B278" s="223">
        <v>9</v>
      </c>
      <c r="C278" s="223" t="s">
        <v>974</v>
      </c>
      <c r="D278" s="223">
        <v>9.1</v>
      </c>
      <c r="E278" s="223" t="s">
        <v>975</v>
      </c>
      <c r="F278" s="223" t="s">
        <v>1282</v>
      </c>
      <c r="G278" s="223">
        <v>5</v>
      </c>
      <c r="H278" s="223" t="s">
        <v>718</v>
      </c>
      <c r="I278" s="225"/>
      <c r="O278" s="235">
        <v>44671</v>
      </c>
    </row>
    <row r="279" spans="1:15" ht="24.4" customHeight="1" x14ac:dyDescent="0.2">
      <c r="A279" s="228" t="s">
        <v>854</v>
      </c>
      <c r="B279" s="221">
        <v>9</v>
      </c>
      <c r="C279" s="221" t="s">
        <v>974</v>
      </c>
      <c r="D279" s="221">
        <v>9.1999999999999993</v>
      </c>
      <c r="E279" s="221" t="s">
        <v>981</v>
      </c>
      <c r="F279" s="221" t="s">
        <v>722</v>
      </c>
      <c r="G279" s="221" t="s">
        <v>811</v>
      </c>
      <c r="H279" s="221"/>
      <c r="I279" s="206" t="s">
        <v>1300</v>
      </c>
      <c r="O279" s="235">
        <v>44671</v>
      </c>
    </row>
    <row r="280" spans="1:15" ht="60" x14ac:dyDescent="0.2">
      <c r="A280" s="228" t="s">
        <v>854</v>
      </c>
      <c r="B280" s="219">
        <v>9</v>
      </c>
      <c r="C280" s="219" t="s">
        <v>974</v>
      </c>
      <c r="D280" s="219">
        <v>9.1999999999999993</v>
      </c>
      <c r="E280" s="219" t="s">
        <v>981</v>
      </c>
      <c r="F280" s="219" t="s">
        <v>720</v>
      </c>
      <c r="G280" s="219">
        <v>1</v>
      </c>
      <c r="H280" s="219" t="s">
        <v>982</v>
      </c>
      <c r="I280" s="206" t="s">
        <v>1289</v>
      </c>
      <c r="J280" s="206" t="s">
        <v>1814</v>
      </c>
      <c r="O280" s="235">
        <v>44671</v>
      </c>
    </row>
    <row r="281" spans="1:15" ht="45" x14ac:dyDescent="0.2">
      <c r="A281" s="228" t="s">
        <v>854</v>
      </c>
      <c r="B281" s="219">
        <v>9</v>
      </c>
      <c r="C281" s="219" t="s">
        <v>974</v>
      </c>
      <c r="D281" s="219">
        <v>9.1999999999999993</v>
      </c>
      <c r="E281" s="219" t="s">
        <v>981</v>
      </c>
      <c r="F281" s="219" t="s">
        <v>720</v>
      </c>
      <c r="G281" s="219">
        <v>2</v>
      </c>
      <c r="H281" s="219" t="s">
        <v>983</v>
      </c>
      <c r="I281" s="206" t="s">
        <v>1289</v>
      </c>
      <c r="J281" s="206" t="s">
        <v>1409</v>
      </c>
      <c r="O281" s="235">
        <v>44671</v>
      </c>
    </row>
    <row r="282" spans="1:15" ht="60" x14ac:dyDescent="0.2">
      <c r="A282" s="228" t="s">
        <v>854</v>
      </c>
      <c r="B282" s="219">
        <v>9</v>
      </c>
      <c r="C282" s="219" t="s">
        <v>974</v>
      </c>
      <c r="D282" s="219">
        <v>9.1999999999999993</v>
      </c>
      <c r="E282" s="219" t="s">
        <v>981</v>
      </c>
      <c r="F282" s="219" t="s">
        <v>720</v>
      </c>
      <c r="G282" s="219">
        <v>3</v>
      </c>
      <c r="H282" s="219" t="s">
        <v>984</v>
      </c>
      <c r="I282" s="206" t="s">
        <v>1289</v>
      </c>
      <c r="J282" s="206" t="s">
        <v>1816</v>
      </c>
      <c r="O282" s="235">
        <v>44671</v>
      </c>
    </row>
    <row r="283" spans="1:15" ht="45" x14ac:dyDescent="0.2">
      <c r="A283" s="228" t="s">
        <v>854</v>
      </c>
      <c r="B283" s="219">
        <v>9</v>
      </c>
      <c r="C283" s="219" t="s">
        <v>974</v>
      </c>
      <c r="D283" s="219">
        <v>9.1999999999999993</v>
      </c>
      <c r="E283" s="219" t="s">
        <v>981</v>
      </c>
      <c r="F283" s="219" t="s">
        <v>720</v>
      </c>
      <c r="G283" s="219">
        <v>4</v>
      </c>
      <c r="H283" s="219" t="s">
        <v>985</v>
      </c>
      <c r="I283" s="206" t="s">
        <v>1289</v>
      </c>
      <c r="J283" s="206" t="s">
        <v>1817</v>
      </c>
      <c r="O283" s="235">
        <v>44671</v>
      </c>
    </row>
    <row r="284" spans="1:15" ht="30" x14ac:dyDescent="0.2">
      <c r="A284" s="228" t="s">
        <v>854</v>
      </c>
      <c r="B284" s="219">
        <v>9</v>
      </c>
      <c r="C284" s="219" t="s">
        <v>974</v>
      </c>
      <c r="D284" s="219">
        <v>9.1999999999999993</v>
      </c>
      <c r="E284" s="219" t="s">
        <v>981</v>
      </c>
      <c r="F284" s="219" t="s">
        <v>720</v>
      </c>
      <c r="G284" s="219">
        <v>5</v>
      </c>
      <c r="H284" s="219" t="s">
        <v>986</v>
      </c>
      <c r="I284" s="206" t="s">
        <v>1289</v>
      </c>
      <c r="J284" s="206" t="s">
        <v>1817</v>
      </c>
      <c r="O284" s="235">
        <v>44671</v>
      </c>
    </row>
    <row r="285" spans="1:15" ht="30" x14ac:dyDescent="0.2">
      <c r="A285" s="228" t="s">
        <v>854</v>
      </c>
      <c r="B285" s="219">
        <v>9</v>
      </c>
      <c r="C285" s="219" t="s">
        <v>974</v>
      </c>
      <c r="D285" s="219">
        <v>9.1999999999999993</v>
      </c>
      <c r="E285" s="219" t="s">
        <v>981</v>
      </c>
      <c r="F285" s="219" t="s">
        <v>720</v>
      </c>
      <c r="G285" s="219">
        <v>6</v>
      </c>
      <c r="H285" s="219" t="s">
        <v>987</v>
      </c>
      <c r="I285" s="206" t="s">
        <v>737</v>
      </c>
      <c r="J285" s="206" t="s">
        <v>1410</v>
      </c>
      <c r="K285" s="206" t="s">
        <v>1819</v>
      </c>
      <c r="L285" s="206" t="s">
        <v>1818</v>
      </c>
      <c r="O285" s="235">
        <v>44671</v>
      </c>
    </row>
    <row r="286" spans="1:15" ht="75" x14ac:dyDescent="0.2">
      <c r="A286" s="228" t="s">
        <v>854</v>
      </c>
      <c r="B286" s="219">
        <v>9</v>
      </c>
      <c r="C286" s="219" t="s">
        <v>974</v>
      </c>
      <c r="D286" s="219">
        <v>9.1999999999999993</v>
      </c>
      <c r="E286" s="219" t="s">
        <v>981</v>
      </c>
      <c r="F286" s="219" t="s">
        <v>720</v>
      </c>
      <c r="G286" s="219">
        <v>7</v>
      </c>
      <c r="H286" s="219" t="s">
        <v>988</v>
      </c>
      <c r="I286" s="206" t="s">
        <v>1289</v>
      </c>
      <c r="J286" s="206" t="s">
        <v>1408</v>
      </c>
      <c r="O286" s="235">
        <v>44671</v>
      </c>
    </row>
    <row r="287" spans="1:15" ht="45" x14ac:dyDescent="0.2">
      <c r="A287" s="228" t="s">
        <v>854</v>
      </c>
      <c r="B287" s="219">
        <v>9</v>
      </c>
      <c r="C287" s="219" t="s">
        <v>974</v>
      </c>
      <c r="D287" s="219">
        <v>9.1999999999999993</v>
      </c>
      <c r="E287" s="219" t="s">
        <v>981</v>
      </c>
      <c r="F287" s="219" t="s">
        <v>720</v>
      </c>
      <c r="G287" s="219">
        <v>8</v>
      </c>
      <c r="H287" s="219" t="s">
        <v>881</v>
      </c>
      <c r="I287" s="206" t="s">
        <v>1289</v>
      </c>
      <c r="J287" s="206" t="s">
        <v>1408</v>
      </c>
      <c r="O287" s="235">
        <v>44671</v>
      </c>
    </row>
    <row r="288" spans="1:15" ht="45" x14ac:dyDescent="0.2">
      <c r="A288" s="228" t="s">
        <v>854</v>
      </c>
      <c r="B288" s="219">
        <v>9</v>
      </c>
      <c r="C288" s="219" t="s">
        <v>974</v>
      </c>
      <c r="D288" s="219">
        <v>9.1999999999999993</v>
      </c>
      <c r="E288" s="219" t="s">
        <v>981</v>
      </c>
      <c r="F288" s="219" t="s">
        <v>720</v>
      </c>
      <c r="G288" s="219">
        <v>9</v>
      </c>
      <c r="H288" s="219" t="s">
        <v>989</v>
      </c>
      <c r="I288" s="206" t="s">
        <v>1289</v>
      </c>
      <c r="J288" s="206" t="s">
        <v>1390</v>
      </c>
      <c r="O288" s="235">
        <v>44671</v>
      </c>
    </row>
    <row r="289" spans="1:15" ht="45" x14ac:dyDescent="0.2">
      <c r="A289" s="228" t="s">
        <v>854</v>
      </c>
      <c r="B289" s="219">
        <v>9</v>
      </c>
      <c r="C289" s="219" t="s">
        <v>974</v>
      </c>
      <c r="D289" s="219">
        <v>9.1999999999999993</v>
      </c>
      <c r="E289" s="219" t="s">
        <v>981</v>
      </c>
      <c r="F289" s="219" t="s">
        <v>720</v>
      </c>
      <c r="G289" s="219">
        <v>10</v>
      </c>
      <c r="H289" s="219" t="s">
        <v>990</v>
      </c>
      <c r="I289" s="206" t="s">
        <v>1289</v>
      </c>
      <c r="J289" s="206" t="s">
        <v>1411</v>
      </c>
      <c r="O289" s="235">
        <v>44671</v>
      </c>
    </row>
    <row r="290" spans="1:15" ht="75" x14ac:dyDescent="0.2">
      <c r="A290" s="228" t="s">
        <v>854</v>
      </c>
      <c r="B290" s="220">
        <v>9</v>
      </c>
      <c r="C290" s="220" t="s">
        <v>974</v>
      </c>
      <c r="D290" s="220">
        <v>9.1999999999999993</v>
      </c>
      <c r="E290" s="220" t="s">
        <v>981</v>
      </c>
      <c r="F290" s="220" t="s">
        <v>718</v>
      </c>
      <c r="G290" s="220">
        <v>1</v>
      </c>
      <c r="H290" s="220" t="s">
        <v>991</v>
      </c>
      <c r="I290" s="206" t="s">
        <v>1289</v>
      </c>
      <c r="J290" s="206" t="s">
        <v>1412</v>
      </c>
      <c r="O290" s="235">
        <v>44671</v>
      </c>
    </row>
    <row r="291" spans="1:15" ht="30" x14ac:dyDescent="0.2">
      <c r="A291" s="228" t="s">
        <v>854</v>
      </c>
      <c r="B291" s="220">
        <v>9</v>
      </c>
      <c r="C291" s="220" t="s">
        <v>974</v>
      </c>
      <c r="D291" s="220">
        <v>9.1999999999999993</v>
      </c>
      <c r="E291" s="220" t="s">
        <v>981</v>
      </c>
      <c r="F291" s="220" t="s">
        <v>718</v>
      </c>
      <c r="G291" s="220">
        <v>2</v>
      </c>
      <c r="H291" s="220" t="s">
        <v>992</v>
      </c>
      <c r="I291" s="206" t="s">
        <v>1289</v>
      </c>
      <c r="J291" s="206" t="s">
        <v>1413</v>
      </c>
      <c r="O291" s="235">
        <v>44671</v>
      </c>
    </row>
    <row r="292" spans="1:15" ht="45" x14ac:dyDescent="0.2">
      <c r="A292" s="228" t="s">
        <v>854</v>
      </c>
      <c r="B292" s="220">
        <v>9</v>
      </c>
      <c r="C292" s="220" t="s">
        <v>974</v>
      </c>
      <c r="D292" s="220">
        <v>9.1999999999999993</v>
      </c>
      <c r="E292" s="220" t="s">
        <v>981</v>
      </c>
      <c r="F292" s="220" t="s">
        <v>718</v>
      </c>
      <c r="G292" s="220">
        <v>3</v>
      </c>
      <c r="H292" s="220" t="s">
        <v>993</v>
      </c>
      <c r="I292" s="206" t="s">
        <v>1289</v>
      </c>
      <c r="J292" s="206" t="s">
        <v>1413</v>
      </c>
      <c r="O292" s="235">
        <v>44671</v>
      </c>
    </row>
    <row r="293" spans="1:15" ht="60.75" thickBot="1" x14ac:dyDescent="0.25">
      <c r="A293" s="228" t="s">
        <v>854</v>
      </c>
      <c r="B293" s="220">
        <v>9</v>
      </c>
      <c r="C293" s="220" t="s">
        <v>974</v>
      </c>
      <c r="D293" s="220">
        <v>9.1999999999999993</v>
      </c>
      <c r="E293" s="220" t="s">
        <v>981</v>
      </c>
      <c r="F293" s="220" t="s">
        <v>718</v>
      </c>
      <c r="G293" s="220">
        <v>4</v>
      </c>
      <c r="H293" s="220" t="s">
        <v>994</v>
      </c>
      <c r="I293" s="206" t="s">
        <v>737</v>
      </c>
      <c r="J293" s="206" t="s">
        <v>1414</v>
      </c>
      <c r="O293" s="235">
        <v>44671</v>
      </c>
    </row>
    <row r="294" spans="1:15" ht="22.9" customHeight="1" thickBot="1" x14ac:dyDescent="0.25">
      <c r="A294" s="222" t="s">
        <v>854</v>
      </c>
      <c r="B294" s="223">
        <v>9</v>
      </c>
      <c r="C294" s="223" t="s">
        <v>974</v>
      </c>
      <c r="D294" s="223">
        <v>9.1999999999999993</v>
      </c>
      <c r="E294" s="223" t="s">
        <v>981</v>
      </c>
      <c r="F294" s="223" t="s">
        <v>1282</v>
      </c>
      <c r="G294" s="223">
        <v>2</v>
      </c>
      <c r="H294" s="223" t="s">
        <v>721</v>
      </c>
      <c r="I294" s="225"/>
      <c r="O294" s="235">
        <v>44671</v>
      </c>
    </row>
    <row r="295" spans="1:15" ht="29.65" customHeight="1" x14ac:dyDescent="0.2">
      <c r="A295" s="228" t="s">
        <v>854</v>
      </c>
      <c r="B295" s="221">
        <v>9</v>
      </c>
      <c r="C295" s="221" t="s">
        <v>974</v>
      </c>
      <c r="D295" s="221">
        <v>9.3000000000000007</v>
      </c>
      <c r="E295" s="221" t="s">
        <v>267</v>
      </c>
      <c r="F295" s="221" t="s">
        <v>722</v>
      </c>
      <c r="G295" s="221" t="s">
        <v>811</v>
      </c>
      <c r="H295" s="221"/>
      <c r="I295" s="206" t="s">
        <v>1300</v>
      </c>
      <c r="O295" s="235">
        <v>44671</v>
      </c>
    </row>
    <row r="296" spans="1:15" ht="60" x14ac:dyDescent="0.2">
      <c r="A296" s="228" t="s">
        <v>854</v>
      </c>
      <c r="B296" s="219">
        <v>9</v>
      </c>
      <c r="C296" s="219" t="s">
        <v>974</v>
      </c>
      <c r="D296" s="219">
        <v>9.3000000000000007</v>
      </c>
      <c r="E296" s="219" t="s">
        <v>267</v>
      </c>
      <c r="F296" s="219" t="s">
        <v>720</v>
      </c>
      <c r="G296" s="219">
        <v>1</v>
      </c>
      <c r="H296" s="219" t="s">
        <v>995</v>
      </c>
      <c r="I296" s="206" t="s">
        <v>737</v>
      </c>
      <c r="J296" s="206" t="s">
        <v>1415</v>
      </c>
      <c r="K296" s="206" t="s">
        <v>1820</v>
      </c>
      <c r="L296" s="206" t="s">
        <v>1818</v>
      </c>
      <c r="O296" s="235">
        <v>44671</v>
      </c>
    </row>
    <row r="297" spans="1:15" ht="315" x14ac:dyDescent="0.2">
      <c r="A297" s="228" t="s">
        <v>854</v>
      </c>
      <c r="B297" s="219">
        <v>9</v>
      </c>
      <c r="C297" s="219" t="s">
        <v>974</v>
      </c>
      <c r="D297" s="219">
        <v>9.3000000000000007</v>
      </c>
      <c r="E297" s="219" t="s">
        <v>267</v>
      </c>
      <c r="F297" s="219" t="s">
        <v>720</v>
      </c>
      <c r="G297" s="219" t="s">
        <v>874</v>
      </c>
      <c r="H297" s="219" t="s">
        <v>996</v>
      </c>
      <c r="I297" s="206" t="s">
        <v>1289</v>
      </c>
      <c r="J297" s="206" t="s">
        <v>1416</v>
      </c>
      <c r="O297" s="235">
        <v>44671</v>
      </c>
    </row>
    <row r="298" spans="1:15" ht="60.75" thickBot="1" x14ac:dyDescent="0.25">
      <c r="A298" s="228" t="s">
        <v>854</v>
      </c>
      <c r="B298" s="220">
        <v>9</v>
      </c>
      <c r="C298" s="220" t="s">
        <v>974</v>
      </c>
      <c r="D298" s="220">
        <v>9.3000000000000007</v>
      </c>
      <c r="E298" s="220" t="s">
        <v>267</v>
      </c>
      <c r="F298" s="220" t="s">
        <v>718</v>
      </c>
      <c r="G298" s="220">
        <v>1</v>
      </c>
      <c r="H298" s="220" t="s">
        <v>997</v>
      </c>
      <c r="I298" s="206" t="s">
        <v>737</v>
      </c>
      <c r="J298" s="206" t="s">
        <v>1821</v>
      </c>
      <c r="O298" s="235">
        <v>44671</v>
      </c>
    </row>
    <row r="299" spans="1:15" ht="25.5" customHeight="1" thickBot="1" x14ac:dyDescent="0.25">
      <c r="A299" s="222" t="s">
        <v>854</v>
      </c>
      <c r="B299" s="223">
        <v>9</v>
      </c>
      <c r="C299" s="223" t="s">
        <v>974</v>
      </c>
      <c r="D299" s="223">
        <v>9.3000000000000007</v>
      </c>
      <c r="E299" s="223" t="s">
        <v>267</v>
      </c>
      <c r="F299" s="223" t="s">
        <v>1282</v>
      </c>
      <c r="G299" s="223">
        <v>2</v>
      </c>
      <c r="H299" s="223" t="s">
        <v>721</v>
      </c>
      <c r="I299" s="225"/>
      <c r="O299" s="235">
        <v>44671</v>
      </c>
    </row>
    <row r="300" spans="1:15" x14ac:dyDescent="0.2">
      <c r="A300" s="228" t="s">
        <v>854</v>
      </c>
      <c r="B300" s="221">
        <v>9</v>
      </c>
      <c r="C300" s="221" t="s">
        <v>974</v>
      </c>
      <c r="D300" s="221">
        <v>9.4</v>
      </c>
      <c r="E300" s="221" t="s">
        <v>998</v>
      </c>
      <c r="F300" s="221" t="s">
        <v>722</v>
      </c>
      <c r="G300" s="221" t="s">
        <v>811</v>
      </c>
      <c r="H300" s="221"/>
      <c r="I300" s="206" t="s">
        <v>1300</v>
      </c>
      <c r="O300" s="235">
        <v>44671</v>
      </c>
    </row>
    <row r="301" spans="1:15" ht="45" x14ac:dyDescent="0.2">
      <c r="A301" s="228" t="s">
        <v>854</v>
      </c>
      <c r="B301" s="219">
        <v>9</v>
      </c>
      <c r="C301" s="219" t="s">
        <v>974</v>
      </c>
      <c r="D301" s="219">
        <v>9.4</v>
      </c>
      <c r="E301" s="219" t="s">
        <v>998</v>
      </c>
      <c r="F301" s="219" t="s">
        <v>720</v>
      </c>
      <c r="G301" s="219">
        <v>1</v>
      </c>
      <c r="H301" s="219" t="s">
        <v>999</v>
      </c>
      <c r="I301" s="206" t="s">
        <v>1289</v>
      </c>
      <c r="J301" s="232" t="s">
        <v>1417</v>
      </c>
      <c r="O301" s="235">
        <v>44671</v>
      </c>
    </row>
    <row r="302" spans="1:15" ht="15.75" thickBot="1" x14ac:dyDescent="0.25">
      <c r="A302" s="228" t="s">
        <v>854</v>
      </c>
      <c r="B302" s="220">
        <v>9</v>
      </c>
      <c r="C302" s="220" t="s">
        <v>974</v>
      </c>
      <c r="D302" s="220">
        <v>9.4</v>
      </c>
      <c r="E302" s="220" t="s">
        <v>998</v>
      </c>
      <c r="F302" s="220" t="s">
        <v>718</v>
      </c>
      <c r="G302" s="220" t="s">
        <v>811</v>
      </c>
      <c r="H302" s="220"/>
      <c r="I302" s="206" t="s">
        <v>1300</v>
      </c>
      <c r="O302" s="235">
        <v>44671</v>
      </c>
    </row>
    <row r="303" spans="1:15" ht="25.15" customHeight="1" thickBot="1" x14ac:dyDescent="0.25">
      <c r="A303" s="222" t="s">
        <v>854</v>
      </c>
      <c r="B303" s="223">
        <v>9</v>
      </c>
      <c r="C303" s="223" t="s">
        <v>974</v>
      </c>
      <c r="D303" s="223">
        <v>9.4</v>
      </c>
      <c r="E303" s="223" t="s">
        <v>998</v>
      </c>
      <c r="F303" s="223" t="s">
        <v>1282</v>
      </c>
      <c r="G303" s="223">
        <v>5</v>
      </c>
      <c r="H303" s="223" t="s">
        <v>718</v>
      </c>
      <c r="I303" s="225"/>
      <c r="O303" s="235">
        <v>44671</v>
      </c>
    </row>
    <row r="304" spans="1:15" x14ac:dyDescent="0.2">
      <c r="A304" s="228" t="s">
        <v>854</v>
      </c>
      <c r="B304" s="221">
        <v>10</v>
      </c>
      <c r="C304" s="221" t="s">
        <v>1000</v>
      </c>
      <c r="D304" s="221">
        <v>10.1</v>
      </c>
      <c r="E304" s="221" t="s">
        <v>1001</v>
      </c>
      <c r="F304" s="221" t="s">
        <v>722</v>
      </c>
      <c r="G304" s="221" t="s">
        <v>811</v>
      </c>
      <c r="H304" s="221"/>
      <c r="I304" s="206" t="s">
        <v>1300</v>
      </c>
      <c r="O304" s="235">
        <v>44671</v>
      </c>
    </row>
    <row r="305" spans="1:15" x14ac:dyDescent="0.2">
      <c r="A305" s="228" t="s">
        <v>854</v>
      </c>
      <c r="B305" s="219">
        <v>10</v>
      </c>
      <c r="C305" s="219" t="s">
        <v>1000</v>
      </c>
      <c r="D305" s="219">
        <v>10.1</v>
      </c>
      <c r="E305" s="219" t="s">
        <v>1001</v>
      </c>
      <c r="F305" s="219" t="s">
        <v>720</v>
      </c>
      <c r="G305" s="219" t="s">
        <v>811</v>
      </c>
      <c r="H305" s="219"/>
      <c r="I305" s="206" t="s">
        <v>1300</v>
      </c>
      <c r="O305" s="235">
        <v>44671</v>
      </c>
    </row>
    <row r="306" spans="1:15" ht="60" x14ac:dyDescent="0.2">
      <c r="A306" s="228" t="s">
        <v>854</v>
      </c>
      <c r="B306" s="220">
        <v>10</v>
      </c>
      <c r="C306" s="220" t="s">
        <v>1000</v>
      </c>
      <c r="D306" s="220">
        <v>10.1</v>
      </c>
      <c r="E306" s="220" t="s">
        <v>1001</v>
      </c>
      <c r="F306" s="220" t="s">
        <v>718</v>
      </c>
      <c r="G306" s="220">
        <v>1</v>
      </c>
      <c r="H306" s="220" t="s">
        <v>1002</v>
      </c>
      <c r="I306" s="206" t="s">
        <v>1289</v>
      </c>
      <c r="J306" s="206" t="s">
        <v>1418</v>
      </c>
      <c r="O306" s="235">
        <v>44671</v>
      </c>
    </row>
    <row r="307" spans="1:15" ht="60.75" thickBot="1" x14ac:dyDescent="0.25">
      <c r="A307" s="228" t="s">
        <v>854</v>
      </c>
      <c r="B307" s="220">
        <v>10</v>
      </c>
      <c r="C307" s="220" t="s">
        <v>1000</v>
      </c>
      <c r="D307" s="220">
        <v>10.1</v>
      </c>
      <c r="E307" s="220" t="s">
        <v>1001</v>
      </c>
      <c r="F307" s="220" t="s">
        <v>718</v>
      </c>
      <c r="G307" s="220">
        <v>2</v>
      </c>
      <c r="H307" s="220" t="s">
        <v>1003</v>
      </c>
      <c r="I307" s="206" t="s">
        <v>1289</v>
      </c>
      <c r="J307" s="206" t="s">
        <v>1822</v>
      </c>
      <c r="O307" s="235">
        <v>44671</v>
      </c>
    </row>
    <row r="308" spans="1:15" ht="19.899999999999999" customHeight="1" thickBot="1" x14ac:dyDescent="0.25">
      <c r="A308" s="222" t="s">
        <v>854</v>
      </c>
      <c r="B308" s="223">
        <v>10</v>
      </c>
      <c r="C308" s="223" t="s">
        <v>1000</v>
      </c>
      <c r="D308" s="223">
        <v>10.1</v>
      </c>
      <c r="E308" s="223" t="s">
        <v>1001</v>
      </c>
      <c r="F308" s="223" t="s">
        <v>1282</v>
      </c>
      <c r="G308" s="223">
        <v>5</v>
      </c>
      <c r="H308" s="223" t="s">
        <v>719</v>
      </c>
      <c r="I308" s="225"/>
      <c r="O308" s="235">
        <v>44671</v>
      </c>
    </row>
    <row r="309" spans="1:15" x14ac:dyDescent="0.2">
      <c r="A309" s="228" t="s">
        <v>854</v>
      </c>
      <c r="B309" s="221">
        <v>10</v>
      </c>
      <c r="C309" s="221" t="s">
        <v>1000</v>
      </c>
      <c r="D309" s="221">
        <v>10.199999999999999</v>
      </c>
      <c r="E309" s="221" t="s">
        <v>1004</v>
      </c>
      <c r="F309" s="221" t="s">
        <v>722</v>
      </c>
      <c r="G309" s="221" t="s">
        <v>811</v>
      </c>
      <c r="H309" s="221"/>
      <c r="I309" s="206" t="s">
        <v>1300</v>
      </c>
      <c r="O309" s="235">
        <v>44671</v>
      </c>
    </row>
    <row r="310" spans="1:15" x14ac:dyDescent="0.2">
      <c r="A310" s="228" t="s">
        <v>854</v>
      </c>
      <c r="B310" s="219">
        <v>10</v>
      </c>
      <c r="C310" s="219" t="s">
        <v>1000</v>
      </c>
      <c r="D310" s="219">
        <v>10.199999999999999</v>
      </c>
      <c r="E310" s="219" t="s">
        <v>1004</v>
      </c>
      <c r="F310" s="219" t="s">
        <v>720</v>
      </c>
      <c r="G310" s="219" t="s">
        <v>811</v>
      </c>
      <c r="H310" s="219"/>
      <c r="I310" s="206" t="s">
        <v>1300</v>
      </c>
      <c r="O310" s="235">
        <v>44671</v>
      </c>
    </row>
    <row r="311" spans="1:15" ht="45" x14ac:dyDescent="0.2">
      <c r="A311" s="228" t="s">
        <v>854</v>
      </c>
      <c r="B311" s="220">
        <v>10</v>
      </c>
      <c r="C311" s="220" t="s">
        <v>1000</v>
      </c>
      <c r="D311" s="220">
        <v>10.199999999999999</v>
      </c>
      <c r="E311" s="220" t="s">
        <v>1004</v>
      </c>
      <c r="F311" s="220" t="s">
        <v>718</v>
      </c>
      <c r="G311" s="220">
        <v>1</v>
      </c>
      <c r="H311" s="220" t="s">
        <v>1005</v>
      </c>
      <c r="I311" s="206" t="s">
        <v>1289</v>
      </c>
      <c r="J311" s="206" t="s">
        <v>1419</v>
      </c>
      <c r="O311" s="235">
        <v>44671</v>
      </c>
    </row>
    <row r="312" spans="1:15" ht="75.75" thickBot="1" x14ac:dyDescent="0.25">
      <c r="A312" s="228" t="s">
        <v>854</v>
      </c>
      <c r="B312" s="220">
        <v>10</v>
      </c>
      <c r="C312" s="220" t="s">
        <v>1000</v>
      </c>
      <c r="D312" s="220">
        <v>10.199999999999999</v>
      </c>
      <c r="E312" s="220" t="s">
        <v>1004</v>
      </c>
      <c r="F312" s="220" t="s">
        <v>718</v>
      </c>
      <c r="G312" s="220">
        <v>2</v>
      </c>
      <c r="H312" s="220" t="s">
        <v>1006</v>
      </c>
      <c r="I312" s="206" t="s">
        <v>1289</v>
      </c>
      <c r="J312" s="206" t="s">
        <v>1420</v>
      </c>
      <c r="O312" s="235">
        <v>44671</v>
      </c>
    </row>
    <row r="313" spans="1:15" ht="23.65" customHeight="1" thickBot="1" x14ac:dyDescent="0.25">
      <c r="A313" s="222" t="s">
        <v>854</v>
      </c>
      <c r="B313" s="223">
        <v>10</v>
      </c>
      <c r="C313" s="223" t="s">
        <v>1000</v>
      </c>
      <c r="D313" s="223">
        <v>10.199999999999999</v>
      </c>
      <c r="E313" s="223" t="s">
        <v>1004</v>
      </c>
      <c r="F313" s="223" t="s">
        <v>1282</v>
      </c>
      <c r="G313" s="223">
        <v>5</v>
      </c>
      <c r="H313" s="223" t="s">
        <v>718</v>
      </c>
      <c r="I313" s="225"/>
      <c r="O313" s="235">
        <v>44671</v>
      </c>
    </row>
    <row r="314" spans="1:15" ht="30" x14ac:dyDescent="0.2">
      <c r="A314" s="228" t="s">
        <v>854</v>
      </c>
      <c r="B314" s="221">
        <v>11</v>
      </c>
      <c r="C314" s="221" t="s">
        <v>1007</v>
      </c>
      <c r="D314" s="221">
        <v>11.1</v>
      </c>
      <c r="E314" s="221" t="s">
        <v>259</v>
      </c>
      <c r="F314" s="221" t="s">
        <v>722</v>
      </c>
      <c r="G314" s="221" t="s">
        <v>811</v>
      </c>
      <c r="H314" s="221"/>
      <c r="I314" s="206" t="s">
        <v>1300</v>
      </c>
      <c r="O314" s="235">
        <v>44671</v>
      </c>
    </row>
    <row r="315" spans="1:15" ht="90" x14ac:dyDescent="0.2">
      <c r="A315" s="228" t="s">
        <v>854</v>
      </c>
      <c r="B315" s="219">
        <v>11</v>
      </c>
      <c r="C315" s="219" t="s">
        <v>1007</v>
      </c>
      <c r="D315" s="219">
        <v>11.1</v>
      </c>
      <c r="E315" s="219" t="s">
        <v>259</v>
      </c>
      <c r="F315" s="219" t="s">
        <v>720</v>
      </c>
      <c r="G315" s="219">
        <v>1</v>
      </c>
      <c r="H315" s="219" t="s">
        <v>1008</v>
      </c>
      <c r="I315" s="206" t="s">
        <v>1289</v>
      </c>
      <c r="J315" s="206" t="s">
        <v>1421</v>
      </c>
      <c r="O315" s="235">
        <v>44671</v>
      </c>
    </row>
    <row r="316" spans="1:15" ht="315" x14ac:dyDescent="0.2">
      <c r="A316" s="228" t="s">
        <v>854</v>
      </c>
      <c r="B316" s="219">
        <v>11</v>
      </c>
      <c r="C316" s="219" t="s">
        <v>1007</v>
      </c>
      <c r="D316" s="219">
        <v>11.1</v>
      </c>
      <c r="E316" s="219" t="s">
        <v>259</v>
      </c>
      <c r="F316" s="219" t="s">
        <v>720</v>
      </c>
      <c r="G316" s="219" t="s">
        <v>874</v>
      </c>
      <c r="H316" s="219" t="s">
        <v>1009</v>
      </c>
      <c r="I316" s="206" t="s">
        <v>1289</v>
      </c>
      <c r="J316" s="206" t="s">
        <v>1422</v>
      </c>
      <c r="O316" s="235">
        <v>44671</v>
      </c>
    </row>
    <row r="317" spans="1:15" ht="30.75" thickBot="1" x14ac:dyDescent="0.25">
      <c r="A317" s="228" t="s">
        <v>854</v>
      </c>
      <c r="B317" s="220">
        <v>11</v>
      </c>
      <c r="C317" s="220" t="s">
        <v>1007</v>
      </c>
      <c r="D317" s="220">
        <v>11.1</v>
      </c>
      <c r="E317" s="220" t="s">
        <v>259</v>
      </c>
      <c r="F317" s="220" t="s">
        <v>718</v>
      </c>
      <c r="G317" s="220">
        <v>1</v>
      </c>
      <c r="H317" s="220" t="s">
        <v>1010</v>
      </c>
      <c r="I317" s="206" t="s">
        <v>1289</v>
      </c>
      <c r="J317" s="206" t="s">
        <v>1423</v>
      </c>
      <c r="O317" s="235">
        <v>44671</v>
      </c>
    </row>
    <row r="318" spans="1:15" ht="27.4" customHeight="1" thickBot="1" x14ac:dyDescent="0.25">
      <c r="A318" s="222" t="s">
        <v>854</v>
      </c>
      <c r="B318" s="223">
        <v>11</v>
      </c>
      <c r="C318" s="223" t="s">
        <v>1007</v>
      </c>
      <c r="D318" s="223">
        <v>11.1</v>
      </c>
      <c r="E318" s="223" t="s">
        <v>259</v>
      </c>
      <c r="F318" s="223" t="s">
        <v>1282</v>
      </c>
      <c r="G318" s="223">
        <v>5</v>
      </c>
      <c r="H318" s="223" t="s">
        <v>718</v>
      </c>
      <c r="I318" s="225"/>
      <c r="O318" s="235">
        <v>44671</v>
      </c>
    </row>
    <row r="319" spans="1:15" ht="30" x14ac:dyDescent="0.2">
      <c r="A319" s="228" t="s">
        <v>854</v>
      </c>
      <c r="B319" s="221">
        <v>11</v>
      </c>
      <c r="C319" s="221" t="s">
        <v>1007</v>
      </c>
      <c r="D319" s="221">
        <v>11.2</v>
      </c>
      <c r="E319" s="221" t="s">
        <v>1011</v>
      </c>
      <c r="F319" s="221" t="s">
        <v>722</v>
      </c>
      <c r="G319" s="221" t="s">
        <v>811</v>
      </c>
      <c r="H319" s="221"/>
      <c r="I319" s="206" t="s">
        <v>1300</v>
      </c>
      <c r="O319" s="235">
        <v>44671</v>
      </c>
    </row>
    <row r="320" spans="1:15" ht="60" x14ac:dyDescent="0.2">
      <c r="A320" s="228" t="s">
        <v>854</v>
      </c>
      <c r="B320" s="219">
        <v>11</v>
      </c>
      <c r="C320" s="219" t="s">
        <v>1007</v>
      </c>
      <c r="D320" s="219">
        <v>11.2</v>
      </c>
      <c r="E320" s="219" t="s">
        <v>1011</v>
      </c>
      <c r="F320" s="219" t="s">
        <v>720</v>
      </c>
      <c r="G320" s="219">
        <v>1</v>
      </c>
      <c r="H320" s="219" t="s">
        <v>1012</v>
      </c>
      <c r="I320" s="206" t="s">
        <v>1289</v>
      </c>
      <c r="J320" s="206" t="s">
        <v>1424</v>
      </c>
      <c r="O320" s="235">
        <v>44671</v>
      </c>
    </row>
    <row r="321" spans="1:15" ht="45" x14ac:dyDescent="0.2">
      <c r="A321" s="228" t="s">
        <v>854</v>
      </c>
      <c r="B321" s="219">
        <v>11</v>
      </c>
      <c r="C321" s="219" t="s">
        <v>1007</v>
      </c>
      <c r="D321" s="219">
        <v>11.2</v>
      </c>
      <c r="E321" s="219" t="s">
        <v>1011</v>
      </c>
      <c r="F321" s="219" t="s">
        <v>720</v>
      </c>
      <c r="G321" s="219">
        <v>2</v>
      </c>
      <c r="H321" s="219" t="s">
        <v>1013</v>
      </c>
      <c r="I321" s="206" t="s">
        <v>1289</v>
      </c>
      <c r="J321" s="206" t="s">
        <v>1425</v>
      </c>
      <c r="O321" s="235">
        <v>44671</v>
      </c>
    </row>
    <row r="322" spans="1:15" ht="45" x14ac:dyDescent="0.2">
      <c r="A322" s="228" t="s">
        <v>854</v>
      </c>
      <c r="B322" s="220">
        <v>11</v>
      </c>
      <c r="C322" s="220" t="s">
        <v>1007</v>
      </c>
      <c r="D322" s="220">
        <v>11.2</v>
      </c>
      <c r="E322" s="220" t="s">
        <v>1011</v>
      </c>
      <c r="F322" s="220" t="s">
        <v>718</v>
      </c>
      <c r="G322" s="220">
        <v>1</v>
      </c>
      <c r="H322" s="220" t="s">
        <v>1014</v>
      </c>
      <c r="I322" s="206" t="s">
        <v>1289</v>
      </c>
      <c r="J322" s="206" t="s">
        <v>1425</v>
      </c>
      <c r="O322" s="235">
        <v>44671</v>
      </c>
    </row>
    <row r="323" spans="1:15" ht="75.75" thickBot="1" x14ac:dyDescent="0.25">
      <c r="A323" s="228" t="s">
        <v>854</v>
      </c>
      <c r="B323" s="220">
        <v>11</v>
      </c>
      <c r="C323" s="220" t="s">
        <v>1007</v>
      </c>
      <c r="D323" s="220">
        <v>11.2</v>
      </c>
      <c r="E323" s="220" t="s">
        <v>1011</v>
      </c>
      <c r="F323" s="220" t="s">
        <v>718</v>
      </c>
      <c r="G323" s="220">
        <v>2</v>
      </c>
      <c r="H323" s="220" t="s">
        <v>1015</v>
      </c>
      <c r="I323" s="206" t="s">
        <v>1289</v>
      </c>
      <c r="J323" s="206" t="s">
        <v>1425</v>
      </c>
      <c r="O323" s="235">
        <v>44671</v>
      </c>
    </row>
    <row r="324" spans="1:15" ht="30" customHeight="1" thickBot="1" x14ac:dyDescent="0.25">
      <c r="A324" s="222" t="s">
        <v>854</v>
      </c>
      <c r="B324" s="223">
        <v>11</v>
      </c>
      <c r="C324" s="223" t="s">
        <v>1007</v>
      </c>
      <c r="D324" s="223">
        <v>11.2</v>
      </c>
      <c r="E324" s="223" t="s">
        <v>1011</v>
      </c>
      <c r="F324" s="223" t="s">
        <v>1282</v>
      </c>
      <c r="G324" s="223">
        <v>5</v>
      </c>
      <c r="H324" s="223" t="s">
        <v>718</v>
      </c>
      <c r="I324" s="225"/>
      <c r="O324" s="235">
        <v>44671</v>
      </c>
    </row>
    <row r="325" spans="1:15" ht="60" x14ac:dyDescent="0.2">
      <c r="A325" s="228" t="s">
        <v>854</v>
      </c>
      <c r="B325" s="221">
        <v>12</v>
      </c>
      <c r="C325" s="221" t="s">
        <v>426</v>
      </c>
      <c r="D325" s="221">
        <v>12.1</v>
      </c>
      <c r="E325" s="221" t="s">
        <v>709</v>
      </c>
      <c r="F325" s="221" t="s">
        <v>722</v>
      </c>
      <c r="G325" s="221">
        <v>1</v>
      </c>
      <c r="H325" s="221" t="s">
        <v>944</v>
      </c>
      <c r="I325" s="206" t="s">
        <v>1289</v>
      </c>
      <c r="J325" s="206" t="s">
        <v>1426</v>
      </c>
      <c r="O325" s="235">
        <v>44671</v>
      </c>
    </row>
    <row r="326" spans="1:15" ht="45" x14ac:dyDescent="0.2">
      <c r="A326" s="228" t="s">
        <v>854</v>
      </c>
      <c r="B326" s="221">
        <v>12</v>
      </c>
      <c r="C326" s="221" t="s">
        <v>426</v>
      </c>
      <c r="D326" s="221">
        <v>12.1</v>
      </c>
      <c r="E326" s="221" t="s">
        <v>709</v>
      </c>
      <c r="F326" s="221" t="s">
        <v>722</v>
      </c>
      <c r="G326" s="221">
        <v>2</v>
      </c>
      <c r="H326" s="221" t="s">
        <v>1016</v>
      </c>
      <c r="I326" s="206" t="s">
        <v>1289</v>
      </c>
      <c r="J326" s="206" t="s">
        <v>1427</v>
      </c>
      <c r="O326" s="235">
        <v>44671</v>
      </c>
    </row>
    <row r="327" spans="1:15" ht="60" x14ac:dyDescent="0.2">
      <c r="A327" s="228" t="s">
        <v>854</v>
      </c>
      <c r="B327" s="221">
        <v>12</v>
      </c>
      <c r="C327" s="221" t="s">
        <v>426</v>
      </c>
      <c r="D327" s="221">
        <v>12.1</v>
      </c>
      <c r="E327" s="221" t="s">
        <v>709</v>
      </c>
      <c r="F327" s="221" t="s">
        <v>722</v>
      </c>
      <c r="G327" s="221">
        <v>3</v>
      </c>
      <c r="H327" s="221" t="s">
        <v>1017</v>
      </c>
      <c r="I327" s="206" t="s">
        <v>1289</v>
      </c>
      <c r="J327" s="206" t="s">
        <v>1428</v>
      </c>
      <c r="O327" s="235">
        <v>44671</v>
      </c>
    </row>
    <row r="328" spans="1:15" ht="75" x14ac:dyDescent="0.2">
      <c r="A328" s="228" t="s">
        <v>854</v>
      </c>
      <c r="B328" s="221">
        <v>12</v>
      </c>
      <c r="C328" s="221" t="s">
        <v>426</v>
      </c>
      <c r="D328" s="221">
        <v>12.1</v>
      </c>
      <c r="E328" s="221" t="s">
        <v>709</v>
      </c>
      <c r="F328" s="221" t="s">
        <v>722</v>
      </c>
      <c r="G328" s="221">
        <v>4</v>
      </c>
      <c r="H328" s="221" t="s">
        <v>1018</v>
      </c>
      <c r="I328" s="206" t="s">
        <v>1289</v>
      </c>
      <c r="J328" s="206" t="s">
        <v>1429</v>
      </c>
      <c r="O328" s="235">
        <v>44671</v>
      </c>
    </row>
    <row r="329" spans="1:15" ht="75" x14ac:dyDescent="0.2">
      <c r="A329" s="228" t="s">
        <v>854</v>
      </c>
      <c r="B329" s="221">
        <v>12</v>
      </c>
      <c r="C329" s="221" t="s">
        <v>426</v>
      </c>
      <c r="D329" s="221">
        <v>12.1</v>
      </c>
      <c r="E329" s="221" t="s">
        <v>709</v>
      </c>
      <c r="F329" s="221" t="s">
        <v>722</v>
      </c>
      <c r="G329" s="221">
        <v>5</v>
      </c>
      <c r="H329" s="221" t="s">
        <v>1019</v>
      </c>
      <c r="I329" s="206" t="s">
        <v>1289</v>
      </c>
      <c r="J329" s="206" t="s">
        <v>1430</v>
      </c>
      <c r="O329" s="235">
        <v>44671</v>
      </c>
    </row>
    <row r="330" spans="1:15" ht="75" x14ac:dyDescent="0.2">
      <c r="A330" s="228" t="s">
        <v>854</v>
      </c>
      <c r="B330" s="219">
        <v>12</v>
      </c>
      <c r="C330" s="219" t="s">
        <v>426</v>
      </c>
      <c r="D330" s="219">
        <v>12.1</v>
      </c>
      <c r="E330" s="219" t="s">
        <v>709</v>
      </c>
      <c r="F330" s="219" t="s">
        <v>720</v>
      </c>
      <c r="G330" s="219">
        <v>1</v>
      </c>
      <c r="H330" s="219" t="s">
        <v>1020</v>
      </c>
      <c r="I330" s="206" t="s">
        <v>1289</v>
      </c>
      <c r="J330" s="206" t="s">
        <v>1431</v>
      </c>
      <c r="O330" s="235">
        <v>44671</v>
      </c>
    </row>
    <row r="331" spans="1:15" ht="60" x14ac:dyDescent="0.2">
      <c r="A331" s="228" t="s">
        <v>854</v>
      </c>
      <c r="B331" s="219">
        <v>12</v>
      </c>
      <c r="C331" s="219" t="s">
        <v>426</v>
      </c>
      <c r="D331" s="219">
        <v>12.1</v>
      </c>
      <c r="E331" s="219" t="s">
        <v>709</v>
      </c>
      <c r="F331" s="219" t="s">
        <v>720</v>
      </c>
      <c r="G331" s="219">
        <v>2</v>
      </c>
      <c r="H331" s="219" t="s">
        <v>1021</v>
      </c>
      <c r="I331" s="206" t="s">
        <v>1289</v>
      </c>
      <c r="J331" s="206" t="s">
        <v>1432</v>
      </c>
      <c r="O331" s="235">
        <v>44671</v>
      </c>
    </row>
    <row r="332" spans="1:15" ht="60" x14ac:dyDescent="0.2">
      <c r="A332" s="228" t="s">
        <v>854</v>
      </c>
      <c r="B332" s="219">
        <v>12</v>
      </c>
      <c r="C332" s="219" t="s">
        <v>426</v>
      </c>
      <c r="D332" s="219">
        <v>12.1</v>
      </c>
      <c r="E332" s="219" t="s">
        <v>709</v>
      </c>
      <c r="F332" s="219" t="s">
        <v>720</v>
      </c>
      <c r="G332" s="219">
        <v>3</v>
      </c>
      <c r="H332" s="219" t="s">
        <v>1022</v>
      </c>
      <c r="I332" s="206" t="s">
        <v>1289</v>
      </c>
      <c r="J332" s="206" t="s">
        <v>1433</v>
      </c>
      <c r="O332" s="235">
        <v>44671</v>
      </c>
    </row>
    <row r="333" spans="1:15" ht="195" x14ac:dyDescent="0.2">
      <c r="A333" s="228" t="s">
        <v>854</v>
      </c>
      <c r="B333" s="219">
        <v>12</v>
      </c>
      <c r="C333" s="219" t="s">
        <v>426</v>
      </c>
      <c r="D333" s="219">
        <v>12.1</v>
      </c>
      <c r="E333" s="219" t="s">
        <v>709</v>
      </c>
      <c r="F333" s="219" t="s">
        <v>720</v>
      </c>
      <c r="G333" s="219" t="s">
        <v>770</v>
      </c>
      <c r="H333" s="219" t="s">
        <v>1023</v>
      </c>
      <c r="I333" s="206" t="s">
        <v>1300</v>
      </c>
      <c r="J333" s="206" t="s">
        <v>1434</v>
      </c>
      <c r="O333" s="235">
        <v>44671</v>
      </c>
    </row>
    <row r="334" spans="1:15" ht="45" x14ac:dyDescent="0.2">
      <c r="A334" s="228" t="s">
        <v>854</v>
      </c>
      <c r="B334" s="220">
        <v>12</v>
      </c>
      <c r="C334" s="220" t="s">
        <v>426</v>
      </c>
      <c r="D334" s="220">
        <v>12.1</v>
      </c>
      <c r="E334" s="220" t="s">
        <v>709</v>
      </c>
      <c r="F334" s="220" t="s">
        <v>718</v>
      </c>
      <c r="G334" s="220">
        <v>1</v>
      </c>
      <c r="H334" s="220" t="s">
        <v>1024</v>
      </c>
      <c r="I334" s="206" t="s">
        <v>1289</v>
      </c>
      <c r="J334" s="206" t="s">
        <v>1435</v>
      </c>
      <c r="O334" s="235">
        <v>44671</v>
      </c>
    </row>
    <row r="335" spans="1:15" ht="60" x14ac:dyDescent="0.2">
      <c r="A335" s="228" t="s">
        <v>854</v>
      </c>
      <c r="B335" s="220">
        <v>12</v>
      </c>
      <c r="C335" s="220" t="s">
        <v>426</v>
      </c>
      <c r="D335" s="220">
        <v>12.1</v>
      </c>
      <c r="E335" s="220" t="s">
        <v>709</v>
      </c>
      <c r="F335" s="220" t="s">
        <v>718</v>
      </c>
      <c r="G335" s="220">
        <v>2</v>
      </c>
      <c r="H335" s="220" t="s">
        <v>1025</v>
      </c>
      <c r="I335" s="206" t="s">
        <v>1289</v>
      </c>
      <c r="J335" s="206" t="s">
        <v>1426</v>
      </c>
      <c r="O335" s="235">
        <v>44671</v>
      </c>
    </row>
    <row r="336" spans="1:15" ht="75" x14ac:dyDescent="0.2">
      <c r="A336" s="228" t="s">
        <v>854</v>
      </c>
      <c r="B336" s="220">
        <v>12</v>
      </c>
      <c r="C336" s="220" t="s">
        <v>426</v>
      </c>
      <c r="D336" s="220">
        <v>12.1</v>
      </c>
      <c r="E336" s="220" t="s">
        <v>709</v>
      </c>
      <c r="F336" s="220" t="s">
        <v>718</v>
      </c>
      <c r="G336" s="220">
        <v>3</v>
      </c>
      <c r="H336" s="220" t="s">
        <v>1026</v>
      </c>
      <c r="I336" s="206" t="s">
        <v>1289</v>
      </c>
      <c r="J336" s="206" t="s">
        <v>1436</v>
      </c>
      <c r="O336" s="235">
        <v>44671</v>
      </c>
    </row>
    <row r="337" spans="1:15" ht="60.75" thickBot="1" x14ac:dyDescent="0.25">
      <c r="A337" s="228" t="s">
        <v>854</v>
      </c>
      <c r="B337" s="220">
        <v>12</v>
      </c>
      <c r="C337" s="220" t="s">
        <v>426</v>
      </c>
      <c r="D337" s="220">
        <v>12.1</v>
      </c>
      <c r="E337" s="220" t="s">
        <v>709</v>
      </c>
      <c r="F337" s="220" t="s">
        <v>718</v>
      </c>
      <c r="G337" s="220">
        <v>4</v>
      </c>
      <c r="H337" s="220" t="s">
        <v>1027</v>
      </c>
      <c r="I337" s="206" t="s">
        <v>1289</v>
      </c>
      <c r="J337" s="206" t="s">
        <v>1437</v>
      </c>
      <c r="O337" s="235">
        <v>44671</v>
      </c>
    </row>
    <row r="338" spans="1:15" ht="21.4" customHeight="1" thickBot="1" x14ac:dyDescent="0.25">
      <c r="A338" s="222" t="s">
        <v>854</v>
      </c>
      <c r="B338" s="223">
        <v>12</v>
      </c>
      <c r="C338" s="223" t="s">
        <v>426</v>
      </c>
      <c r="D338" s="223">
        <v>12.1</v>
      </c>
      <c r="E338" s="223" t="s">
        <v>709</v>
      </c>
      <c r="F338" s="223" t="s">
        <v>1282</v>
      </c>
      <c r="G338" s="223">
        <v>5</v>
      </c>
      <c r="H338" s="223" t="s">
        <v>718</v>
      </c>
      <c r="I338" s="225"/>
      <c r="O338" s="235">
        <v>44671</v>
      </c>
    </row>
    <row r="339" spans="1:15" ht="30" x14ac:dyDescent="0.2">
      <c r="A339" s="228" t="s">
        <v>854</v>
      </c>
      <c r="B339" s="221">
        <v>12</v>
      </c>
      <c r="C339" s="221" t="s">
        <v>426</v>
      </c>
      <c r="D339" s="221">
        <v>12.2</v>
      </c>
      <c r="E339" s="221" t="s">
        <v>1028</v>
      </c>
      <c r="F339" s="221" t="s">
        <v>722</v>
      </c>
      <c r="G339" s="221" t="s">
        <v>811</v>
      </c>
      <c r="H339" s="221"/>
      <c r="I339" s="206" t="s">
        <v>1300</v>
      </c>
      <c r="O339" s="235">
        <v>44671</v>
      </c>
    </row>
    <row r="340" spans="1:15" ht="315" x14ac:dyDescent="0.2">
      <c r="A340" s="228" t="s">
        <v>854</v>
      </c>
      <c r="B340" s="219">
        <v>12</v>
      </c>
      <c r="C340" s="219" t="s">
        <v>426</v>
      </c>
      <c r="D340" s="219">
        <v>12.2</v>
      </c>
      <c r="E340" s="219" t="s">
        <v>1028</v>
      </c>
      <c r="F340" s="219" t="s">
        <v>720</v>
      </c>
      <c r="G340" s="219" t="s">
        <v>874</v>
      </c>
      <c r="H340" s="219" t="s">
        <v>1029</v>
      </c>
      <c r="I340" s="206" t="s">
        <v>1289</v>
      </c>
      <c r="J340" s="206" t="s">
        <v>1438</v>
      </c>
      <c r="O340" s="235">
        <v>44671</v>
      </c>
    </row>
    <row r="341" spans="1:15" ht="60" x14ac:dyDescent="0.2">
      <c r="A341" s="228" t="s">
        <v>854</v>
      </c>
      <c r="B341" s="220">
        <v>12</v>
      </c>
      <c r="C341" s="220" t="s">
        <v>426</v>
      </c>
      <c r="D341" s="220">
        <v>12.2</v>
      </c>
      <c r="E341" s="220" t="s">
        <v>1028</v>
      </c>
      <c r="F341" s="220" t="s">
        <v>718</v>
      </c>
      <c r="G341" s="220">
        <v>1</v>
      </c>
      <c r="H341" s="220" t="s">
        <v>1030</v>
      </c>
      <c r="I341" s="206" t="s">
        <v>737</v>
      </c>
      <c r="J341" s="206" t="s">
        <v>1439</v>
      </c>
      <c r="K341" s="206" t="s">
        <v>1823</v>
      </c>
      <c r="L341" s="206" t="s">
        <v>1795</v>
      </c>
      <c r="O341" s="235">
        <v>44671</v>
      </c>
    </row>
    <row r="342" spans="1:15" ht="90" x14ac:dyDescent="0.2">
      <c r="A342" s="228" t="s">
        <v>854</v>
      </c>
      <c r="B342" s="220">
        <v>12</v>
      </c>
      <c r="C342" s="220" t="s">
        <v>426</v>
      </c>
      <c r="D342" s="220">
        <v>12.2</v>
      </c>
      <c r="E342" s="220" t="s">
        <v>1028</v>
      </c>
      <c r="F342" s="220" t="s">
        <v>718</v>
      </c>
      <c r="G342" s="220">
        <v>2</v>
      </c>
      <c r="H342" s="220" t="s">
        <v>488</v>
      </c>
      <c r="I342" s="206" t="s">
        <v>737</v>
      </c>
      <c r="J342" s="206" t="s">
        <v>1439</v>
      </c>
      <c r="K342" s="206" t="s">
        <v>1823</v>
      </c>
      <c r="L342" s="206" t="s">
        <v>1795</v>
      </c>
      <c r="O342" s="235">
        <v>44671</v>
      </c>
    </row>
    <row r="343" spans="1:15" ht="45" x14ac:dyDescent="0.2">
      <c r="A343" s="228" t="s">
        <v>854</v>
      </c>
      <c r="B343" s="220">
        <v>12</v>
      </c>
      <c r="C343" s="220" t="s">
        <v>426</v>
      </c>
      <c r="D343" s="220">
        <v>12.2</v>
      </c>
      <c r="E343" s="220" t="s">
        <v>1028</v>
      </c>
      <c r="F343" s="220" t="s">
        <v>718</v>
      </c>
      <c r="G343" s="220">
        <v>3</v>
      </c>
      <c r="H343" s="220" t="s">
        <v>415</v>
      </c>
      <c r="I343" s="206" t="s">
        <v>1289</v>
      </c>
      <c r="J343" s="206" t="s">
        <v>1440</v>
      </c>
      <c r="O343" s="235">
        <v>44671</v>
      </c>
    </row>
    <row r="344" spans="1:15" ht="30" x14ac:dyDescent="0.2">
      <c r="A344" s="228" t="s">
        <v>854</v>
      </c>
      <c r="B344" s="220">
        <v>12</v>
      </c>
      <c r="C344" s="220" t="s">
        <v>426</v>
      </c>
      <c r="D344" s="220">
        <v>12.2</v>
      </c>
      <c r="E344" s="220" t="s">
        <v>1028</v>
      </c>
      <c r="F344" s="220" t="s">
        <v>718</v>
      </c>
      <c r="G344" s="220">
        <v>4</v>
      </c>
      <c r="H344" s="220" t="s">
        <v>1031</v>
      </c>
      <c r="I344" s="206" t="s">
        <v>1289</v>
      </c>
      <c r="J344" s="206" t="s">
        <v>1299</v>
      </c>
      <c r="O344" s="235">
        <v>44671</v>
      </c>
    </row>
    <row r="345" spans="1:15" ht="45" x14ac:dyDescent="0.2">
      <c r="A345" s="228" t="s">
        <v>854</v>
      </c>
      <c r="B345" s="220">
        <v>12</v>
      </c>
      <c r="C345" s="220" t="s">
        <v>426</v>
      </c>
      <c r="D345" s="220">
        <v>12.2</v>
      </c>
      <c r="E345" s="220" t="s">
        <v>1028</v>
      </c>
      <c r="F345" s="220" t="s">
        <v>718</v>
      </c>
      <c r="G345" s="220">
        <v>5</v>
      </c>
      <c r="H345" s="220" t="s">
        <v>1032</v>
      </c>
      <c r="I345" s="206" t="s">
        <v>1289</v>
      </c>
      <c r="J345" s="206" t="s">
        <v>1441</v>
      </c>
      <c r="O345" s="235">
        <v>44671</v>
      </c>
    </row>
    <row r="346" spans="1:15" ht="90" x14ac:dyDescent="0.2">
      <c r="A346" s="228" t="s">
        <v>854</v>
      </c>
      <c r="B346" s="220">
        <v>12</v>
      </c>
      <c r="C346" s="220" t="s">
        <v>426</v>
      </c>
      <c r="D346" s="220">
        <v>12.2</v>
      </c>
      <c r="E346" s="220" t="s">
        <v>1028</v>
      </c>
      <c r="F346" s="220" t="s">
        <v>718</v>
      </c>
      <c r="G346" s="220">
        <v>6</v>
      </c>
      <c r="H346" s="220" t="s">
        <v>1033</v>
      </c>
      <c r="I346" s="206" t="s">
        <v>737</v>
      </c>
      <c r="J346" s="206" t="s">
        <v>1442</v>
      </c>
      <c r="K346" s="206" t="s">
        <v>1824</v>
      </c>
      <c r="L346" s="206" t="s">
        <v>1795</v>
      </c>
      <c r="O346" s="235">
        <v>44671</v>
      </c>
    </row>
    <row r="347" spans="1:15" ht="60" x14ac:dyDescent="0.2">
      <c r="A347" s="228" t="s">
        <v>854</v>
      </c>
      <c r="B347" s="220">
        <v>12</v>
      </c>
      <c r="C347" s="220" t="s">
        <v>426</v>
      </c>
      <c r="D347" s="220">
        <v>12.2</v>
      </c>
      <c r="E347" s="220" t="s">
        <v>1028</v>
      </c>
      <c r="F347" s="220" t="s">
        <v>718</v>
      </c>
      <c r="G347" s="220">
        <v>7</v>
      </c>
      <c r="H347" s="220" t="s">
        <v>1034</v>
      </c>
      <c r="I347" s="206" t="s">
        <v>737</v>
      </c>
      <c r="J347" s="206" t="s">
        <v>1443</v>
      </c>
      <c r="O347" s="235">
        <v>44671</v>
      </c>
    </row>
    <row r="348" spans="1:15" ht="30.75" thickBot="1" x14ac:dyDescent="0.25">
      <c r="A348" s="228" t="s">
        <v>854</v>
      </c>
      <c r="B348" s="220">
        <v>12</v>
      </c>
      <c r="C348" s="220" t="s">
        <v>426</v>
      </c>
      <c r="D348" s="220">
        <v>12.2</v>
      </c>
      <c r="E348" s="220" t="s">
        <v>1028</v>
      </c>
      <c r="F348" s="220" t="s">
        <v>718</v>
      </c>
      <c r="G348" s="220">
        <v>8</v>
      </c>
      <c r="H348" s="220" t="s">
        <v>1035</v>
      </c>
      <c r="I348" s="206" t="s">
        <v>1289</v>
      </c>
      <c r="J348" s="206" t="s">
        <v>1444</v>
      </c>
      <c r="O348" s="235">
        <v>44671</v>
      </c>
    </row>
    <row r="349" spans="1:15" ht="30.75" thickBot="1" x14ac:dyDescent="0.25">
      <c r="A349" s="222" t="s">
        <v>854</v>
      </c>
      <c r="B349" s="223">
        <v>12</v>
      </c>
      <c r="C349" s="223" t="s">
        <v>426</v>
      </c>
      <c r="D349" s="223">
        <v>12.2</v>
      </c>
      <c r="E349" s="223" t="s">
        <v>1028</v>
      </c>
      <c r="F349" s="223" t="s">
        <v>1282</v>
      </c>
      <c r="G349" s="223">
        <v>4</v>
      </c>
      <c r="H349" s="223" t="s">
        <v>719</v>
      </c>
      <c r="I349" s="225"/>
      <c r="O349" s="235">
        <v>44671</v>
      </c>
    </row>
    <row r="350" spans="1:15" ht="30" x14ac:dyDescent="0.2">
      <c r="A350" s="228" t="s">
        <v>854</v>
      </c>
      <c r="B350" s="221">
        <v>12</v>
      </c>
      <c r="C350" s="221" t="s">
        <v>426</v>
      </c>
      <c r="D350" s="221">
        <v>12.3</v>
      </c>
      <c r="E350" s="221" t="s">
        <v>1036</v>
      </c>
      <c r="F350" s="221" t="s">
        <v>722</v>
      </c>
      <c r="G350" s="221" t="s">
        <v>811</v>
      </c>
      <c r="H350" s="221"/>
      <c r="I350" s="206" t="s">
        <v>1300</v>
      </c>
      <c r="O350" s="235">
        <v>44671</v>
      </c>
    </row>
    <row r="351" spans="1:15" ht="45" x14ac:dyDescent="0.2">
      <c r="A351" s="228" t="s">
        <v>854</v>
      </c>
      <c r="B351" s="219">
        <v>12</v>
      </c>
      <c r="C351" s="219" t="s">
        <v>426</v>
      </c>
      <c r="D351" s="219">
        <v>12.3</v>
      </c>
      <c r="E351" s="219" t="s">
        <v>1036</v>
      </c>
      <c r="F351" s="219" t="s">
        <v>720</v>
      </c>
      <c r="G351" s="219">
        <v>1</v>
      </c>
      <c r="H351" s="219" t="s">
        <v>1037</v>
      </c>
      <c r="I351" s="206" t="s">
        <v>1289</v>
      </c>
      <c r="J351" s="206" t="s">
        <v>1299</v>
      </c>
      <c r="O351" s="235">
        <v>44671</v>
      </c>
    </row>
    <row r="352" spans="1:15" ht="75" x14ac:dyDescent="0.2">
      <c r="A352" s="228" t="s">
        <v>854</v>
      </c>
      <c r="B352" s="219">
        <v>12</v>
      </c>
      <c r="C352" s="219" t="s">
        <v>426</v>
      </c>
      <c r="D352" s="219">
        <v>12.3</v>
      </c>
      <c r="E352" s="219" t="s">
        <v>1036</v>
      </c>
      <c r="F352" s="219" t="s">
        <v>720</v>
      </c>
      <c r="G352" s="219">
        <v>2</v>
      </c>
      <c r="H352" s="219" t="s">
        <v>1038</v>
      </c>
      <c r="I352" s="206" t="s">
        <v>1289</v>
      </c>
      <c r="J352" s="206" t="s">
        <v>1445</v>
      </c>
      <c r="O352" s="235">
        <v>44671</v>
      </c>
    </row>
    <row r="353" spans="1:15" ht="45" x14ac:dyDescent="0.2">
      <c r="A353" s="228" t="s">
        <v>854</v>
      </c>
      <c r="B353" s="220">
        <v>12</v>
      </c>
      <c r="C353" s="220" t="s">
        <v>426</v>
      </c>
      <c r="D353" s="220">
        <v>12.3</v>
      </c>
      <c r="E353" s="220" t="s">
        <v>1036</v>
      </c>
      <c r="F353" s="220" t="s">
        <v>718</v>
      </c>
      <c r="G353" s="220">
        <v>1</v>
      </c>
      <c r="H353" s="220" t="s">
        <v>1039</v>
      </c>
      <c r="I353" s="206" t="s">
        <v>1289</v>
      </c>
      <c r="J353" s="206" t="s">
        <v>1299</v>
      </c>
      <c r="O353" s="235">
        <v>44671</v>
      </c>
    </row>
    <row r="354" spans="1:15" ht="60" x14ac:dyDescent="0.2">
      <c r="A354" s="228" t="s">
        <v>854</v>
      </c>
      <c r="B354" s="220">
        <v>12</v>
      </c>
      <c r="C354" s="220" t="s">
        <v>426</v>
      </c>
      <c r="D354" s="220">
        <v>12.3</v>
      </c>
      <c r="E354" s="220" t="s">
        <v>1036</v>
      </c>
      <c r="F354" s="220" t="s">
        <v>718</v>
      </c>
      <c r="G354" s="220">
        <v>2</v>
      </c>
      <c r="H354" s="220" t="s">
        <v>1027</v>
      </c>
      <c r="I354" s="206" t="s">
        <v>1289</v>
      </c>
      <c r="J354" s="206" t="s">
        <v>1445</v>
      </c>
      <c r="O354" s="235">
        <v>44671</v>
      </c>
    </row>
    <row r="355" spans="1:15" ht="60.75" thickBot="1" x14ac:dyDescent="0.25">
      <c r="A355" s="228" t="s">
        <v>854</v>
      </c>
      <c r="B355" s="220">
        <v>12</v>
      </c>
      <c r="C355" s="220" t="s">
        <v>426</v>
      </c>
      <c r="D355" s="220">
        <v>12.3</v>
      </c>
      <c r="E355" s="220" t="s">
        <v>1036</v>
      </c>
      <c r="F355" s="220" t="s">
        <v>718</v>
      </c>
      <c r="G355" s="220">
        <v>3</v>
      </c>
      <c r="H355" s="220" t="s">
        <v>1040</v>
      </c>
      <c r="I355" s="206" t="s">
        <v>1289</v>
      </c>
      <c r="J355" s="206" t="s">
        <v>1446</v>
      </c>
      <c r="O355" s="235">
        <v>44671</v>
      </c>
    </row>
    <row r="356" spans="1:15" ht="30.75" thickBot="1" x14ac:dyDescent="0.25">
      <c r="A356" s="222" t="s">
        <v>854</v>
      </c>
      <c r="B356" s="223">
        <v>12</v>
      </c>
      <c r="C356" s="223" t="s">
        <v>426</v>
      </c>
      <c r="D356" s="223">
        <v>12.3</v>
      </c>
      <c r="E356" s="223" t="s">
        <v>1036</v>
      </c>
      <c r="F356" s="223" t="s">
        <v>1282</v>
      </c>
      <c r="G356" s="223">
        <v>5</v>
      </c>
      <c r="H356" s="223" t="s">
        <v>718</v>
      </c>
      <c r="I356" s="225"/>
      <c r="O356" s="235">
        <v>44671</v>
      </c>
    </row>
    <row r="357" spans="1:15" ht="22.9" customHeight="1" x14ac:dyDescent="0.2">
      <c r="A357" s="228" t="s">
        <v>854</v>
      </c>
      <c r="B357" s="221">
        <v>12</v>
      </c>
      <c r="C357" s="221" t="s">
        <v>426</v>
      </c>
      <c r="D357" s="221">
        <v>12.4</v>
      </c>
      <c r="E357" s="221" t="s">
        <v>1041</v>
      </c>
      <c r="F357" s="221" t="s">
        <v>722</v>
      </c>
      <c r="G357" s="221" t="s">
        <v>811</v>
      </c>
      <c r="H357" s="221"/>
      <c r="I357" s="206" t="s">
        <v>1300</v>
      </c>
      <c r="O357" s="235">
        <v>44671</v>
      </c>
    </row>
    <row r="358" spans="1:15" ht="75" x14ac:dyDescent="0.2">
      <c r="A358" s="228" t="s">
        <v>854</v>
      </c>
      <c r="B358" s="219">
        <v>12</v>
      </c>
      <c r="C358" s="219" t="s">
        <v>426</v>
      </c>
      <c r="D358" s="219">
        <v>12.4</v>
      </c>
      <c r="E358" s="219" t="s">
        <v>1041</v>
      </c>
      <c r="F358" s="219" t="s">
        <v>720</v>
      </c>
      <c r="G358" s="219">
        <v>1</v>
      </c>
      <c r="H358" s="219" t="s">
        <v>1042</v>
      </c>
      <c r="I358" s="206" t="s">
        <v>737</v>
      </c>
      <c r="J358" s="206" t="s">
        <v>1447</v>
      </c>
      <c r="K358" s="206" t="s">
        <v>1825</v>
      </c>
      <c r="L358" s="206" t="s">
        <v>1826</v>
      </c>
      <c r="O358" s="235">
        <v>44671</v>
      </c>
    </row>
    <row r="359" spans="1:15" ht="30" x14ac:dyDescent="0.2">
      <c r="A359" s="228" t="s">
        <v>854</v>
      </c>
      <c r="B359" s="219">
        <v>12</v>
      </c>
      <c r="C359" s="219" t="s">
        <v>426</v>
      </c>
      <c r="D359" s="219">
        <v>12.4</v>
      </c>
      <c r="E359" s="219" t="s">
        <v>1041</v>
      </c>
      <c r="F359" s="219" t="s">
        <v>720</v>
      </c>
      <c r="G359" s="219">
        <v>2</v>
      </c>
      <c r="H359" s="219" t="s">
        <v>1043</v>
      </c>
      <c r="I359" s="206" t="s">
        <v>737</v>
      </c>
      <c r="J359" s="206" t="s">
        <v>1288</v>
      </c>
      <c r="K359" s="206" t="s">
        <v>1825</v>
      </c>
      <c r="L359" s="206" t="s">
        <v>1826</v>
      </c>
      <c r="O359" s="235">
        <v>44671</v>
      </c>
    </row>
    <row r="360" spans="1:15" ht="210" x14ac:dyDescent="0.2">
      <c r="A360" s="228" t="s">
        <v>854</v>
      </c>
      <c r="B360" s="219">
        <v>12</v>
      </c>
      <c r="C360" s="219" t="s">
        <v>426</v>
      </c>
      <c r="D360" s="219">
        <v>12.4</v>
      </c>
      <c r="E360" s="219" t="s">
        <v>1041</v>
      </c>
      <c r="F360" s="219" t="s">
        <v>720</v>
      </c>
      <c r="G360" s="219" t="s">
        <v>770</v>
      </c>
      <c r="H360" s="219" t="s">
        <v>1044</v>
      </c>
      <c r="I360" s="206" t="s">
        <v>1300</v>
      </c>
      <c r="O360" s="235">
        <v>44671</v>
      </c>
    </row>
    <row r="361" spans="1:15" ht="409.5" x14ac:dyDescent="0.2">
      <c r="A361" s="228" t="s">
        <v>854</v>
      </c>
      <c r="B361" s="219">
        <v>12</v>
      </c>
      <c r="C361" s="219" t="s">
        <v>426</v>
      </c>
      <c r="D361" s="219">
        <v>12.4</v>
      </c>
      <c r="E361" s="219" t="s">
        <v>1041</v>
      </c>
      <c r="F361" s="219" t="s">
        <v>720</v>
      </c>
      <c r="G361" s="219" t="s">
        <v>874</v>
      </c>
      <c r="H361" s="219" t="s">
        <v>1045</v>
      </c>
      <c r="I361" s="206" t="s">
        <v>1289</v>
      </c>
      <c r="J361" s="206" t="s">
        <v>1448</v>
      </c>
      <c r="O361" s="235">
        <v>44671</v>
      </c>
    </row>
    <row r="362" spans="1:15" ht="45" x14ac:dyDescent="0.2">
      <c r="A362" s="228" t="s">
        <v>854</v>
      </c>
      <c r="B362" s="220">
        <v>12</v>
      </c>
      <c r="C362" s="220" t="s">
        <v>426</v>
      </c>
      <c r="D362" s="220">
        <v>12.4</v>
      </c>
      <c r="E362" s="220" t="s">
        <v>1041</v>
      </c>
      <c r="F362" s="220" t="s">
        <v>718</v>
      </c>
      <c r="G362" s="220">
        <v>1</v>
      </c>
      <c r="H362" s="220" t="s">
        <v>1046</v>
      </c>
      <c r="I362" s="206" t="s">
        <v>1289</v>
      </c>
      <c r="J362" s="206" t="s">
        <v>1449</v>
      </c>
      <c r="O362" s="235">
        <v>44671</v>
      </c>
    </row>
    <row r="363" spans="1:15" ht="60" x14ac:dyDescent="0.2">
      <c r="A363" s="228" t="s">
        <v>854</v>
      </c>
      <c r="B363" s="220">
        <v>12</v>
      </c>
      <c r="C363" s="220" t="s">
        <v>426</v>
      </c>
      <c r="D363" s="220">
        <v>12.4</v>
      </c>
      <c r="E363" s="220" t="s">
        <v>1041</v>
      </c>
      <c r="F363" s="220" t="s">
        <v>718</v>
      </c>
      <c r="G363" s="220">
        <v>2</v>
      </c>
      <c r="H363" s="220" t="s">
        <v>1047</v>
      </c>
      <c r="I363" s="206" t="s">
        <v>737</v>
      </c>
      <c r="J363" s="206" t="s">
        <v>1450</v>
      </c>
      <c r="K363" s="206" t="s">
        <v>1825</v>
      </c>
      <c r="L363" s="206" t="s">
        <v>1826</v>
      </c>
      <c r="O363" s="235">
        <v>44671</v>
      </c>
    </row>
    <row r="364" spans="1:15" ht="30" x14ac:dyDescent="0.2">
      <c r="A364" s="228" t="s">
        <v>854</v>
      </c>
      <c r="B364" s="220">
        <v>12</v>
      </c>
      <c r="C364" s="220" t="s">
        <v>426</v>
      </c>
      <c r="D364" s="220">
        <v>12.4</v>
      </c>
      <c r="E364" s="220" t="s">
        <v>1041</v>
      </c>
      <c r="F364" s="220" t="s">
        <v>718</v>
      </c>
      <c r="G364" s="220">
        <v>3</v>
      </c>
      <c r="H364" s="220" t="s">
        <v>1048</v>
      </c>
      <c r="I364" s="206" t="s">
        <v>737</v>
      </c>
      <c r="J364" s="206" t="s">
        <v>1288</v>
      </c>
      <c r="K364" s="206" t="s">
        <v>1825</v>
      </c>
      <c r="L364" s="206" t="s">
        <v>1826</v>
      </c>
      <c r="O364" s="235">
        <v>44671</v>
      </c>
    </row>
    <row r="365" spans="1:15" ht="60.75" thickBot="1" x14ac:dyDescent="0.25">
      <c r="A365" s="228" t="s">
        <v>854</v>
      </c>
      <c r="B365" s="220">
        <v>12</v>
      </c>
      <c r="C365" s="220" t="s">
        <v>426</v>
      </c>
      <c r="D365" s="220">
        <v>12.4</v>
      </c>
      <c r="E365" s="220" t="s">
        <v>1041</v>
      </c>
      <c r="F365" s="220" t="s">
        <v>718</v>
      </c>
      <c r="G365" s="220">
        <v>4</v>
      </c>
      <c r="H365" s="220" t="s">
        <v>420</v>
      </c>
      <c r="I365" s="206" t="s">
        <v>1289</v>
      </c>
      <c r="J365" s="206" t="s">
        <v>1451</v>
      </c>
      <c r="O365" s="235">
        <v>44671</v>
      </c>
    </row>
    <row r="366" spans="1:15" ht="33.4" customHeight="1" thickBot="1" x14ac:dyDescent="0.25">
      <c r="A366" s="222" t="s">
        <v>854</v>
      </c>
      <c r="B366" s="223">
        <v>12</v>
      </c>
      <c r="C366" s="223" t="s">
        <v>426</v>
      </c>
      <c r="D366" s="223">
        <v>12.4</v>
      </c>
      <c r="E366" s="223" t="s">
        <v>1041</v>
      </c>
      <c r="F366" s="223" t="s">
        <v>1282</v>
      </c>
      <c r="G366" s="223">
        <v>1</v>
      </c>
      <c r="H366" s="223" t="s">
        <v>722</v>
      </c>
      <c r="I366" s="225"/>
      <c r="O366" s="235">
        <v>44671</v>
      </c>
    </row>
    <row r="367" spans="1:15" ht="330" x14ac:dyDescent="0.2">
      <c r="A367" s="228" t="s">
        <v>854</v>
      </c>
      <c r="B367" s="221">
        <v>13</v>
      </c>
      <c r="C367" s="221" t="s">
        <v>1049</v>
      </c>
      <c r="D367" s="221">
        <v>13.1</v>
      </c>
      <c r="E367" s="221" t="s">
        <v>1050</v>
      </c>
      <c r="F367" s="221" t="s">
        <v>722</v>
      </c>
      <c r="G367" s="221">
        <v>1</v>
      </c>
      <c r="H367" s="221" t="s">
        <v>1051</v>
      </c>
      <c r="I367" s="206" t="s">
        <v>1289</v>
      </c>
      <c r="J367" s="206" t="s">
        <v>1452</v>
      </c>
      <c r="O367" s="235">
        <v>44671</v>
      </c>
    </row>
    <row r="368" spans="1:15" ht="45" x14ac:dyDescent="0.2">
      <c r="A368" s="228" t="s">
        <v>854</v>
      </c>
      <c r="B368" s="219">
        <v>13</v>
      </c>
      <c r="C368" s="219" t="s">
        <v>1049</v>
      </c>
      <c r="D368" s="219">
        <v>13.1</v>
      </c>
      <c r="E368" s="219" t="s">
        <v>1050</v>
      </c>
      <c r="F368" s="219" t="s">
        <v>720</v>
      </c>
      <c r="G368" s="219">
        <v>1</v>
      </c>
      <c r="H368" s="219" t="s">
        <v>1052</v>
      </c>
      <c r="I368" s="206" t="s">
        <v>1289</v>
      </c>
      <c r="J368" s="206" t="s">
        <v>1453</v>
      </c>
      <c r="O368" s="235">
        <v>44671</v>
      </c>
    </row>
    <row r="369" spans="1:15" ht="45" x14ac:dyDescent="0.2">
      <c r="A369" s="228" t="s">
        <v>854</v>
      </c>
      <c r="B369" s="219">
        <v>13</v>
      </c>
      <c r="C369" s="219" t="s">
        <v>1049</v>
      </c>
      <c r="D369" s="219">
        <v>13.1</v>
      </c>
      <c r="E369" s="219" t="s">
        <v>1050</v>
      </c>
      <c r="F369" s="219" t="s">
        <v>720</v>
      </c>
      <c r="G369" s="219">
        <v>2</v>
      </c>
      <c r="H369" s="219" t="s">
        <v>1053</v>
      </c>
      <c r="I369" s="206" t="s">
        <v>1289</v>
      </c>
      <c r="J369" s="206" t="s">
        <v>1453</v>
      </c>
      <c r="O369" s="235">
        <v>44671</v>
      </c>
    </row>
    <row r="370" spans="1:15" ht="60" x14ac:dyDescent="0.2">
      <c r="A370" s="228" t="s">
        <v>854</v>
      </c>
      <c r="B370" s="219">
        <v>13</v>
      </c>
      <c r="C370" s="219" t="s">
        <v>1049</v>
      </c>
      <c r="D370" s="219">
        <v>13.1</v>
      </c>
      <c r="E370" s="219" t="s">
        <v>1050</v>
      </c>
      <c r="F370" s="219" t="s">
        <v>720</v>
      </c>
      <c r="G370" s="219">
        <v>3</v>
      </c>
      <c r="H370" s="219" t="s">
        <v>1054</v>
      </c>
      <c r="I370" s="206" t="s">
        <v>1289</v>
      </c>
      <c r="J370" s="206" t="s">
        <v>1453</v>
      </c>
      <c r="O370" s="235">
        <v>44671</v>
      </c>
    </row>
    <row r="371" spans="1:15" ht="30.75" thickBot="1" x14ac:dyDescent="0.25">
      <c r="A371" s="228" t="s">
        <v>854</v>
      </c>
      <c r="B371" s="220">
        <v>13</v>
      </c>
      <c r="C371" s="220" t="s">
        <v>1049</v>
      </c>
      <c r="D371" s="220">
        <v>13.1</v>
      </c>
      <c r="E371" s="220" t="s">
        <v>1050</v>
      </c>
      <c r="F371" s="220" t="s">
        <v>718</v>
      </c>
      <c r="G371" s="220" t="s">
        <v>811</v>
      </c>
      <c r="H371" s="220"/>
      <c r="I371" s="206" t="s">
        <v>1300</v>
      </c>
      <c r="O371" s="235">
        <v>44671</v>
      </c>
    </row>
    <row r="372" spans="1:15" ht="34.15" customHeight="1" thickBot="1" x14ac:dyDescent="0.25">
      <c r="A372" s="222" t="s">
        <v>854</v>
      </c>
      <c r="B372" s="223">
        <v>13</v>
      </c>
      <c r="C372" s="223" t="s">
        <v>1049</v>
      </c>
      <c r="D372" s="223">
        <v>13.1</v>
      </c>
      <c r="E372" s="223" t="s">
        <v>1050</v>
      </c>
      <c r="F372" s="223" t="s">
        <v>1282</v>
      </c>
      <c r="G372" s="223">
        <v>5</v>
      </c>
      <c r="H372" s="223" t="s">
        <v>718</v>
      </c>
      <c r="I372" s="225"/>
      <c r="O372" s="235">
        <v>44671</v>
      </c>
    </row>
    <row r="373" spans="1:15" ht="45" x14ac:dyDescent="0.2">
      <c r="A373" s="228" t="s">
        <v>854</v>
      </c>
      <c r="B373" s="221">
        <v>13</v>
      </c>
      <c r="C373" s="221" t="s">
        <v>1049</v>
      </c>
      <c r="D373" s="221">
        <v>13.2</v>
      </c>
      <c r="E373" s="221" t="s">
        <v>1055</v>
      </c>
      <c r="F373" s="221" t="s">
        <v>722</v>
      </c>
      <c r="G373" s="221">
        <v>1</v>
      </c>
      <c r="H373" s="221" t="s">
        <v>1056</v>
      </c>
      <c r="I373" s="206" t="s">
        <v>1289</v>
      </c>
      <c r="J373" s="206" t="s">
        <v>1454</v>
      </c>
      <c r="O373" s="235">
        <v>44671</v>
      </c>
    </row>
    <row r="374" spans="1:15" ht="45" x14ac:dyDescent="0.2">
      <c r="A374" s="228" t="s">
        <v>854</v>
      </c>
      <c r="B374" s="219">
        <v>13</v>
      </c>
      <c r="C374" s="219" t="s">
        <v>1049</v>
      </c>
      <c r="D374" s="219">
        <v>13.2</v>
      </c>
      <c r="E374" s="219" t="s">
        <v>1055</v>
      </c>
      <c r="F374" s="219" t="s">
        <v>720</v>
      </c>
      <c r="G374" s="219">
        <v>1</v>
      </c>
      <c r="H374" s="219" t="s">
        <v>1057</v>
      </c>
      <c r="I374" s="206" t="s">
        <v>1289</v>
      </c>
      <c r="J374" s="206" t="s">
        <v>1455</v>
      </c>
      <c r="O374" s="235">
        <v>44671</v>
      </c>
    </row>
    <row r="375" spans="1:15" ht="75" x14ac:dyDescent="0.2">
      <c r="A375" s="228" t="s">
        <v>854</v>
      </c>
      <c r="B375" s="219">
        <v>13</v>
      </c>
      <c r="C375" s="219" t="s">
        <v>1049</v>
      </c>
      <c r="D375" s="219">
        <v>13.2</v>
      </c>
      <c r="E375" s="219" t="s">
        <v>1055</v>
      </c>
      <c r="F375" s="219" t="s">
        <v>720</v>
      </c>
      <c r="G375" s="219">
        <v>2</v>
      </c>
      <c r="H375" s="219" t="s">
        <v>1058</v>
      </c>
      <c r="I375" s="206" t="s">
        <v>1289</v>
      </c>
      <c r="J375" s="206" t="s">
        <v>1456</v>
      </c>
      <c r="O375" s="235">
        <v>44671</v>
      </c>
    </row>
    <row r="376" spans="1:15" ht="45" x14ac:dyDescent="0.2">
      <c r="A376" s="228" t="s">
        <v>854</v>
      </c>
      <c r="B376" s="219">
        <v>13</v>
      </c>
      <c r="C376" s="219" t="s">
        <v>1049</v>
      </c>
      <c r="D376" s="219">
        <v>13.2</v>
      </c>
      <c r="E376" s="219" t="s">
        <v>1055</v>
      </c>
      <c r="F376" s="219" t="s">
        <v>720</v>
      </c>
      <c r="G376" s="219">
        <v>3</v>
      </c>
      <c r="H376" s="219" t="s">
        <v>1059</v>
      </c>
      <c r="I376" s="206" t="s">
        <v>1289</v>
      </c>
      <c r="J376" s="206" t="s">
        <v>1457</v>
      </c>
      <c r="O376" s="235">
        <v>44671</v>
      </c>
    </row>
    <row r="377" spans="1:15" ht="15.75" thickBot="1" x14ac:dyDescent="0.25">
      <c r="A377" s="228" t="s">
        <v>854</v>
      </c>
      <c r="B377" s="220">
        <v>13</v>
      </c>
      <c r="C377" s="220" t="s">
        <v>1049</v>
      </c>
      <c r="D377" s="220">
        <v>13.2</v>
      </c>
      <c r="E377" s="220" t="s">
        <v>1055</v>
      </c>
      <c r="F377" s="220" t="s">
        <v>718</v>
      </c>
      <c r="G377" s="220" t="s">
        <v>811</v>
      </c>
      <c r="H377" s="220"/>
      <c r="I377" s="206" t="s">
        <v>1300</v>
      </c>
      <c r="O377" s="235">
        <v>44671</v>
      </c>
    </row>
    <row r="378" spans="1:15" ht="29.65" customHeight="1" thickBot="1" x14ac:dyDescent="0.25">
      <c r="A378" s="222" t="s">
        <v>854</v>
      </c>
      <c r="B378" s="223">
        <v>13</v>
      </c>
      <c r="C378" s="223" t="s">
        <v>1049</v>
      </c>
      <c r="D378" s="223">
        <v>13.2</v>
      </c>
      <c r="E378" s="223" t="s">
        <v>1055</v>
      </c>
      <c r="F378" s="223" t="s">
        <v>1282</v>
      </c>
      <c r="G378" s="223">
        <v>5</v>
      </c>
      <c r="H378" s="223" t="s">
        <v>718</v>
      </c>
      <c r="I378" s="225"/>
      <c r="O378" s="235">
        <v>44671</v>
      </c>
    </row>
    <row r="379" spans="1:15" ht="30" x14ac:dyDescent="0.2">
      <c r="A379" s="228" t="s">
        <v>854</v>
      </c>
      <c r="B379" s="221">
        <v>13</v>
      </c>
      <c r="C379" s="221" t="s">
        <v>1049</v>
      </c>
      <c r="D379" s="221">
        <v>13.3</v>
      </c>
      <c r="E379" s="221" t="s">
        <v>1060</v>
      </c>
      <c r="F379" s="221" t="s">
        <v>722</v>
      </c>
      <c r="G379" s="221">
        <v>1</v>
      </c>
      <c r="H379" s="221" t="s">
        <v>1061</v>
      </c>
      <c r="I379" s="206" t="s">
        <v>1289</v>
      </c>
      <c r="J379" s="206" t="s">
        <v>1458</v>
      </c>
      <c r="O379" s="235">
        <v>44671</v>
      </c>
    </row>
    <row r="380" spans="1:15" ht="90" x14ac:dyDescent="0.2">
      <c r="A380" s="228" t="s">
        <v>854</v>
      </c>
      <c r="B380" s="219">
        <v>13</v>
      </c>
      <c r="C380" s="219" t="s">
        <v>1049</v>
      </c>
      <c r="D380" s="219">
        <v>13.3</v>
      </c>
      <c r="E380" s="219" t="s">
        <v>1060</v>
      </c>
      <c r="F380" s="219" t="s">
        <v>720</v>
      </c>
      <c r="G380" s="219">
        <v>1</v>
      </c>
      <c r="H380" s="219" t="s">
        <v>1062</v>
      </c>
      <c r="I380" s="206" t="s">
        <v>1289</v>
      </c>
      <c r="J380" s="206" t="s">
        <v>1827</v>
      </c>
      <c r="O380" s="235">
        <v>44671</v>
      </c>
    </row>
    <row r="381" spans="1:15" ht="15.75" thickBot="1" x14ac:dyDescent="0.25">
      <c r="A381" s="228" t="s">
        <v>854</v>
      </c>
      <c r="B381" s="220">
        <v>13</v>
      </c>
      <c r="C381" s="220" t="s">
        <v>1049</v>
      </c>
      <c r="D381" s="220">
        <v>13.3</v>
      </c>
      <c r="E381" s="220" t="s">
        <v>1060</v>
      </c>
      <c r="F381" s="220" t="s">
        <v>718</v>
      </c>
      <c r="G381" s="220" t="s">
        <v>811</v>
      </c>
      <c r="H381" s="220"/>
      <c r="I381" s="206" t="s">
        <v>1300</v>
      </c>
      <c r="O381" s="235">
        <v>44671</v>
      </c>
    </row>
    <row r="382" spans="1:15" ht="25.15" customHeight="1" thickBot="1" x14ac:dyDescent="0.25">
      <c r="A382" s="222" t="s">
        <v>854</v>
      </c>
      <c r="B382" s="223">
        <v>13</v>
      </c>
      <c r="C382" s="223" t="s">
        <v>1049</v>
      </c>
      <c r="D382" s="223">
        <v>13.3</v>
      </c>
      <c r="E382" s="223" t="s">
        <v>1060</v>
      </c>
      <c r="F382" s="223" t="s">
        <v>1282</v>
      </c>
      <c r="G382" s="223">
        <v>5</v>
      </c>
      <c r="H382" s="223" t="s">
        <v>718</v>
      </c>
      <c r="I382" s="225"/>
      <c r="O382" s="235">
        <v>44671</v>
      </c>
    </row>
    <row r="383" spans="1:15" ht="45" x14ac:dyDescent="0.2">
      <c r="A383" s="228" t="s">
        <v>854</v>
      </c>
      <c r="B383" s="221">
        <v>13</v>
      </c>
      <c r="C383" s="221" t="s">
        <v>1049</v>
      </c>
      <c r="D383" s="221">
        <v>13.4</v>
      </c>
      <c r="E383" s="221" t="s">
        <v>1063</v>
      </c>
      <c r="F383" s="221" t="s">
        <v>722</v>
      </c>
      <c r="G383" s="221">
        <v>1</v>
      </c>
      <c r="H383" s="221" t="s">
        <v>1056</v>
      </c>
      <c r="I383" s="206" t="s">
        <v>1289</v>
      </c>
      <c r="J383" s="206" t="s">
        <v>1459</v>
      </c>
      <c r="O383" s="235">
        <v>44671</v>
      </c>
    </row>
    <row r="384" spans="1:15" ht="60" x14ac:dyDescent="0.2">
      <c r="A384" s="228" t="s">
        <v>854</v>
      </c>
      <c r="B384" s="219">
        <v>13</v>
      </c>
      <c r="C384" s="219" t="s">
        <v>1049</v>
      </c>
      <c r="D384" s="219">
        <v>13.4</v>
      </c>
      <c r="E384" s="219" t="s">
        <v>1063</v>
      </c>
      <c r="F384" s="219" t="s">
        <v>720</v>
      </c>
      <c r="G384" s="219">
        <v>1</v>
      </c>
      <c r="H384" s="219" t="s">
        <v>1064</v>
      </c>
      <c r="I384" s="206" t="s">
        <v>1289</v>
      </c>
      <c r="J384" s="206" t="s">
        <v>1460</v>
      </c>
      <c r="O384" s="235">
        <v>44671</v>
      </c>
    </row>
    <row r="385" spans="1:15" ht="90" x14ac:dyDescent="0.2">
      <c r="A385" s="228" t="s">
        <v>854</v>
      </c>
      <c r="B385" s="219">
        <v>13</v>
      </c>
      <c r="C385" s="219" t="s">
        <v>1049</v>
      </c>
      <c r="D385" s="219">
        <v>13.4</v>
      </c>
      <c r="E385" s="219" t="s">
        <v>1063</v>
      </c>
      <c r="F385" s="219" t="s">
        <v>720</v>
      </c>
      <c r="G385" s="219">
        <v>2</v>
      </c>
      <c r="H385" s="219" t="s">
        <v>1065</v>
      </c>
      <c r="I385" s="206" t="s">
        <v>1289</v>
      </c>
      <c r="J385" s="206" t="s">
        <v>1460</v>
      </c>
      <c r="O385" s="235">
        <v>44671</v>
      </c>
    </row>
    <row r="386" spans="1:15" ht="60" x14ac:dyDescent="0.2">
      <c r="A386" s="228" t="s">
        <v>854</v>
      </c>
      <c r="B386" s="219">
        <v>13</v>
      </c>
      <c r="C386" s="219" t="s">
        <v>1049</v>
      </c>
      <c r="D386" s="219">
        <v>13.4</v>
      </c>
      <c r="E386" s="219" t="s">
        <v>1063</v>
      </c>
      <c r="F386" s="219" t="s">
        <v>720</v>
      </c>
      <c r="G386" s="219">
        <v>3</v>
      </c>
      <c r="H386" s="219" t="s">
        <v>1066</v>
      </c>
      <c r="I386" s="206" t="s">
        <v>737</v>
      </c>
      <c r="J386" s="206" t="s">
        <v>1461</v>
      </c>
      <c r="K386" s="206" t="s">
        <v>1828</v>
      </c>
      <c r="L386" s="206" t="s">
        <v>1829</v>
      </c>
      <c r="O386" s="235">
        <v>44671</v>
      </c>
    </row>
    <row r="387" spans="1:15" ht="90" x14ac:dyDescent="0.2">
      <c r="A387" s="228" t="s">
        <v>854</v>
      </c>
      <c r="B387" s="219">
        <v>13</v>
      </c>
      <c r="C387" s="219" t="s">
        <v>1049</v>
      </c>
      <c r="D387" s="219">
        <v>13.4</v>
      </c>
      <c r="E387" s="219" t="s">
        <v>1063</v>
      </c>
      <c r="F387" s="219" t="s">
        <v>720</v>
      </c>
      <c r="G387" s="219">
        <v>4</v>
      </c>
      <c r="H387" s="219" t="s">
        <v>1067</v>
      </c>
      <c r="I387" s="206" t="s">
        <v>1289</v>
      </c>
      <c r="J387" s="206" t="s">
        <v>1462</v>
      </c>
      <c r="O387" s="235">
        <v>44671</v>
      </c>
    </row>
    <row r="388" spans="1:15" ht="240" x14ac:dyDescent="0.2">
      <c r="A388" s="228" t="s">
        <v>854</v>
      </c>
      <c r="B388" s="219">
        <v>13</v>
      </c>
      <c r="C388" s="219" t="s">
        <v>1049</v>
      </c>
      <c r="D388" s="219">
        <v>13.4</v>
      </c>
      <c r="E388" s="219" t="s">
        <v>1063</v>
      </c>
      <c r="F388" s="219" t="s">
        <v>720</v>
      </c>
      <c r="G388" s="219" t="s">
        <v>874</v>
      </c>
      <c r="H388" s="219" t="s">
        <v>1068</v>
      </c>
      <c r="I388" s="206" t="s">
        <v>737</v>
      </c>
      <c r="K388" s="206" t="s">
        <v>1830</v>
      </c>
      <c r="L388" s="206" t="s">
        <v>1829</v>
      </c>
      <c r="O388" s="235">
        <v>44671</v>
      </c>
    </row>
    <row r="389" spans="1:15" ht="60" x14ac:dyDescent="0.2">
      <c r="A389" s="228" t="s">
        <v>854</v>
      </c>
      <c r="B389" s="220">
        <v>13</v>
      </c>
      <c r="C389" s="220" t="s">
        <v>1049</v>
      </c>
      <c r="D389" s="220">
        <v>13.4</v>
      </c>
      <c r="E389" s="220" t="s">
        <v>1063</v>
      </c>
      <c r="F389" s="220" t="s">
        <v>718</v>
      </c>
      <c r="G389" s="220">
        <v>1</v>
      </c>
      <c r="H389" s="220" t="s">
        <v>1069</v>
      </c>
      <c r="I389" s="206" t="s">
        <v>1289</v>
      </c>
      <c r="J389" s="206" t="s">
        <v>1463</v>
      </c>
      <c r="O389" s="235">
        <v>44671</v>
      </c>
    </row>
    <row r="390" spans="1:15" ht="43.5" customHeight="1" x14ac:dyDescent="0.2">
      <c r="A390" s="228" t="s">
        <v>854</v>
      </c>
      <c r="B390" s="220">
        <v>13</v>
      </c>
      <c r="C390" s="220" t="s">
        <v>1049</v>
      </c>
      <c r="D390" s="220">
        <v>13.4</v>
      </c>
      <c r="E390" s="220" t="s">
        <v>1063</v>
      </c>
      <c r="F390" s="220" t="s">
        <v>718</v>
      </c>
      <c r="G390" s="220">
        <v>2</v>
      </c>
      <c r="H390" s="220" t="s">
        <v>1070</v>
      </c>
      <c r="I390" s="206" t="s">
        <v>737</v>
      </c>
      <c r="J390" s="206" t="s">
        <v>1464</v>
      </c>
      <c r="K390" s="206" t="s">
        <v>1831</v>
      </c>
      <c r="L390" s="206" t="s">
        <v>1795</v>
      </c>
      <c r="O390" s="235">
        <v>44671</v>
      </c>
    </row>
    <row r="391" spans="1:15" ht="60.75" thickBot="1" x14ac:dyDescent="0.25">
      <c r="A391" s="228" t="s">
        <v>854</v>
      </c>
      <c r="B391" s="220">
        <v>13</v>
      </c>
      <c r="C391" s="220" t="s">
        <v>1049</v>
      </c>
      <c r="D391" s="220">
        <v>13.4</v>
      </c>
      <c r="E391" s="220" t="s">
        <v>1063</v>
      </c>
      <c r="F391" s="220" t="s">
        <v>718</v>
      </c>
      <c r="G391" s="220">
        <v>3</v>
      </c>
      <c r="H391" s="220" t="s">
        <v>1071</v>
      </c>
      <c r="I391" s="206" t="s">
        <v>1289</v>
      </c>
      <c r="J391" s="206" t="s">
        <v>1465</v>
      </c>
      <c r="O391" s="235">
        <v>44671</v>
      </c>
    </row>
    <row r="392" spans="1:15" ht="37.15" customHeight="1" thickBot="1" x14ac:dyDescent="0.25">
      <c r="A392" s="222" t="s">
        <v>854</v>
      </c>
      <c r="B392" s="223">
        <v>13</v>
      </c>
      <c r="C392" s="223" t="s">
        <v>1049</v>
      </c>
      <c r="D392" s="223">
        <v>13.4</v>
      </c>
      <c r="E392" s="223" t="s">
        <v>1063</v>
      </c>
      <c r="F392" s="223" t="s">
        <v>1282</v>
      </c>
      <c r="G392" s="223">
        <v>2</v>
      </c>
      <c r="H392" s="223" t="s">
        <v>721</v>
      </c>
      <c r="I392" s="225"/>
      <c r="O392" s="235">
        <v>44671</v>
      </c>
    </row>
    <row r="393" spans="1:15" ht="30" x14ac:dyDescent="0.2">
      <c r="A393" s="228" t="s">
        <v>854</v>
      </c>
      <c r="B393" s="221">
        <v>13</v>
      </c>
      <c r="C393" s="221" t="s">
        <v>1049</v>
      </c>
      <c r="D393" s="221">
        <v>13.5</v>
      </c>
      <c r="E393" s="221" t="s">
        <v>1074</v>
      </c>
      <c r="F393" s="221" t="s">
        <v>722</v>
      </c>
      <c r="G393" s="221" t="s">
        <v>811</v>
      </c>
      <c r="H393" s="221"/>
      <c r="I393" s="206" t="s">
        <v>1300</v>
      </c>
      <c r="O393" s="235">
        <v>44671</v>
      </c>
    </row>
    <row r="394" spans="1:15" ht="60" x14ac:dyDescent="0.2">
      <c r="A394" s="228" t="s">
        <v>854</v>
      </c>
      <c r="B394" s="219">
        <v>13</v>
      </c>
      <c r="C394" s="219" t="s">
        <v>1049</v>
      </c>
      <c r="D394" s="219">
        <v>13.5</v>
      </c>
      <c r="E394" s="219" t="s">
        <v>1074</v>
      </c>
      <c r="F394" s="219" t="s">
        <v>720</v>
      </c>
      <c r="G394" s="219">
        <v>1</v>
      </c>
      <c r="H394" s="219" t="s">
        <v>1072</v>
      </c>
      <c r="I394" s="206" t="s">
        <v>1289</v>
      </c>
      <c r="J394" s="206" t="s">
        <v>1466</v>
      </c>
      <c r="O394" s="235">
        <v>44671</v>
      </c>
    </row>
    <row r="395" spans="1:15" ht="90" x14ac:dyDescent="0.2">
      <c r="A395" s="228" t="s">
        <v>854</v>
      </c>
      <c r="B395" s="219">
        <v>13</v>
      </c>
      <c r="C395" s="219" t="s">
        <v>1049</v>
      </c>
      <c r="D395" s="219">
        <v>13.5</v>
      </c>
      <c r="E395" s="219" t="s">
        <v>1074</v>
      </c>
      <c r="F395" s="219" t="s">
        <v>720</v>
      </c>
      <c r="G395" s="219">
        <v>2</v>
      </c>
      <c r="H395" s="219" t="s">
        <v>1073</v>
      </c>
      <c r="I395" s="206" t="s">
        <v>1289</v>
      </c>
      <c r="J395" s="206" t="s">
        <v>1833</v>
      </c>
      <c r="K395" s="206" t="s">
        <v>1832</v>
      </c>
      <c r="L395" s="206" t="s">
        <v>1818</v>
      </c>
      <c r="O395" s="235">
        <v>44671</v>
      </c>
    </row>
    <row r="396" spans="1:15" ht="30.75" thickBot="1" x14ac:dyDescent="0.25">
      <c r="A396" s="228" t="s">
        <v>854</v>
      </c>
      <c r="B396" s="220">
        <v>13</v>
      </c>
      <c r="C396" s="220" t="s">
        <v>1049</v>
      </c>
      <c r="D396" s="220">
        <v>13.5</v>
      </c>
      <c r="E396" s="220" t="s">
        <v>1074</v>
      </c>
      <c r="F396" s="220" t="s">
        <v>718</v>
      </c>
      <c r="G396" s="220" t="s">
        <v>811</v>
      </c>
      <c r="H396" s="220"/>
      <c r="I396" s="206" t="s">
        <v>1300</v>
      </c>
      <c r="O396" s="235">
        <v>44671</v>
      </c>
    </row>
    <row r="397" spans="1:15" ht="30.75" thickBot="1" x14ac:dyDescent="0.25">
      <c r="A397" s="222" t="s">
        <v>854</v>
      </c>
      <c r="B397" s="223">
        <v>13</v>
      </c>
      <c r="C397" s="223" t="s">
        <v>1049</v>
      </c>
      <c r="D397" s="223">
        <v>13.5</v>
      </c>
      <c r="E397" s="223" t="s">
        <v>1074</v>
      </c>
      <c r="F397" s="223" t="s">
        <v>1282</v>
      </c>
      <c r="G397" s="223">
        <v>2</v>
      </c>
      <c r="H397" s="223" t="s">
        <v>721</v>
      </c>
      <c r="I397" s="225"/>
      <c r="O397" s="235">
        <v>44671</v>
      </c>
    </row>
    <row r="398" spans="1:15" ht="409.5" x14ac:dyDescent="0.2">
      <c r="A398" s="228" t="s">
        <v>854</v>
      </c>
      <c r="B398" s="221">
        <v>13</v>
      </c>
      <c r="C398" s="221" t="s">
        <v>1049</v>
      </c>
      <c r="D398" s="221">
        <v>13.6</v>
      </c>
      <c r="E398" s="221" t="s">
        <v>1075</v>
      </c>
      <c r="F398" s="221" t="s">
        <v>722</v>
      </c>
      <c r="G398" s="221">
        <v>1</v>
      </c>
      <c r="H398" s="221" t="s">
        <v>1283</v>
      </c>
      <c r="I398" s="206" t="s">
        <v>1289</v>
      </c>
      <c r="J398" s="206" t="s">
        <v>1467</v>
      </c>
      <c r="O398" s="235">
        <v>44671</v>
      </c>
    </row>
    <row r="399" spans="1:15" ht="150" x14ac:dyDescent="0.2">
      <c r="A399" s="228" t="s">
        <v>854</v>
      </c>
      <c r="B399" s="219">
        <v>13</v>
      </c>
      <c r="C399" s="219" t="s">
        <v>1049</v>
      </c>
      <c r="D399" s="219">
        <v>13.6</v>
      </c>
      <c r="E399" s="219" t="s">
        <v>1075</v>
      </c>
      <c r="F399" s="219" t="s">
        <v>720</v>
      </c>
      <c r="G399" s="219">
        <v>1</v>
      </c>
      <c r="H399" s="219" t="s">
        <v>1076</v>
      </c>
      <c r="I399" s="206" t="s">
        <v>1289</v>
      </c>
      <c r="J399" s="206" t="s">
        <v>1468</v>
      </c>
      <c r="O399" s="235">
        <v>44671</v>
      </c>
    </row>
    <row r="400" spans="1:15" ht="90" x14ac:dyDescent="0.2">
      <c r="A400" s="228" t="s">
        <v>854</v>
      </c>
      <c r="B400" s="219">
        <v>13</v>
      </c>
      <c r="C400" s="219" t="s">
        <v>1049</v>
      </c>
      <c r="D400" s="219">
        <v>13.6</v>
      </c>
      <c r="E400" s="219" t="s">
        <v>1075</v>
      </c>
      <c r="F400" s="219" t="s">
        <v>720</v>
      </c>
      <c r="G400" s="219">
        <v>2</v>
      </c>
      <c r="H400" s="219" t="s">
        <v>1077</v>
      </c>
      <c r="I400" s="206" t="s">
        <v>1289</v>
      </c>
      <c r="J400" s="206" t="s">
        <v>1469</v>
      </c>
      <c r="O400" s="235">
        <v>44671</v>
      </c>
    </row>
    <row r="401" spans="1:15" ht="60.75" thickBot="1" x14ac:dyDescent="0.25">
      <c r="A401" s="228" t="s">
        <v>854</v>
      </c>
      <c r="B401" s="220">
        <v>13</v>
      </c>
      <c r="C401" s="220" t="s">
        <v>1049</v>
      </c>
      <c r="D401" s="220">
        <v>13.6</v>
      </c>
      <c r="E401" s="220" t="s">
        <v>1075</v>
      </c>
      <c r="F401" s="220" t="s">
        <v>718</v>
      </c>
      <c r="G401" s="220">
        <v>1</v>
      </c>
      <c r="H401" s="220" t="s">
        <v>1078</v>
      </c>
      <c r="I401" s="206" t="s">
        <v>1289</v>
      </c>
      <c r="J401" s="206" t="s">
        <v>1470</v>
      </c>
      <c r="O401" s="235">
        <v>44671</v>
      </c>
    </row>
    <row r="402" spans="1:15" ht="30.75" thickBot="1" x14ac:dyDescent="0.25">
      <c r="A402" s="222" t="s">
        <v>854</v>
      </c>
      <c r="B402" s="223">
        <v>13</v>
      </c>
      <c r="C402" s="223" t="s">
        <v>1049</v>
      </c>
      <c r="D402" s="223">
        <v>13.6</v>
      </c>
      <c r="E402" s="223" t="s">
        <v>1075</v>
      </c>
      <c r="F402" s="223" t="s">
        <v>1282</v>
      </c>
      <c r="G402" s="223">
        <v>5</v>
      </c>
      <c r="H402" s="223" t="s">
        <v>718</v>
      </c>
      <c r="I402" s="225"/>
      <c r="O402" s="235">
        <v>44671</v>
      </c>
    </row>
    <row r="403" spans="1:15" ht="60" x14ac:dyDescent="0.2">
      <c r="A403" s="228" t="s">
        <v>854</v>
      </c>
      <c r="B403" s="221">
        <v>13</v>
      </c>
      <c r="C403" s="221" t="s">
        <v>1049</v>
      </c>
      <c r="D403" s="221">
        <v>13.7</v>
      </c>
      <c r="E403" s="221" t="s">
        <v>1079</v>
      </c>
      <c r="F403" s="221" t="s">
        <v>722</v>
      </c>
      <c r="G403" s="221">
        <v>1</v>
      </c>
      <c r="H403" s="221" t="s">
        <v>1080</v>
      </c>
      <c r="I403" s="206" t="s">
        <v>1289</v>
      </c>
      <c r="J403" s="206" t="s">
        <v>1471</v>
      </c>
      <c r="O403" s="235">
        <v>44671</v>
      </c>
    </row>
    <row r="404" spans="1:15" x14ac:dyDescent="0.2">
      <c r="A404" s="228" t="s">
        <v>854</v>
      </c>
      <c r="B404" s="219">
        <v>13</v>
      </c>
      <c r="C404" s="219" t="s">
        <v>1049</v>
      </c>
      <c r="D404" s="219">
        <v>13.7</v>
      </c>
      <c r="E404" s="219" t="s">
        <v>1079</v>
      </c>
      <c r="F404" s="219" t="s">
        <v>720</v>
      </c>
      <c r="G404" s="219" t="s">
        <v>811</v>
      </c>
      <c r="H404" s="219"/>
      <c r="I404" s="206" t="s">
        <v>1300</v>
      </c>
      <c r="O404" s="235">
        <v>44671</v>
      </c>
    </row>
    <row r="405" spans="1:15" ht="15.75" thickBot="1" x14ac:dyDescent="0.25">
      <c r="A405" s="228" t="s">
        <v>854</v>
      </c>
      <c r="B405" s="220">
        <v>13</v>
      </c>
      <c r="C405" s="220" t="s">
        <v>1049</v>
      </c>
      <c r="D405" s="220">
        <v>13.7</v>
      </c>
      <c r="E405" s="220" t="s">
        <v>1079</v>
      </c>
      <c r="F405" s="220" t="s">
        <v>718</v>
      </c>
      <c r="G405" s="220" t="s">
        <v>811</v>
      </c>
      <c r="H405" s="220"/>
      <c r="I405" s="206" t="s">
        <v>1300</v>
      </c>
      <c r="O405" s="235">
        <v>44671</v>
      </c>
    </row>
    <row r="406" spans="1:15" ht="28.15" customHeight="1" thickBot="1" x14ac:dyDescent="0.25">
      <c r="A406" s="222" t="s">
        <v>854</v>
      </c>
      <c r="B406" s="223">
        <v>13</v>
      </c>
      <c r="C406" s="223" t="s">
        <v>1049</v>
      </c>
      <c r="D406" s="223">
        <v>13.7</v>
      </c>
      <c r="E406" s="223" t="s">
        <v>1079</v>
      </c>
      <c r="F406" s="223" t="s">
        <v>1282</v>
      </c>
      <c r="G406" s="223">
        <v>5</v>
      </c>
      <c r="H406" s="223" t="s">
        <v>718</v>
      </c>
      <c r="I406" s="225"/>
      <c r="O406" s="235">
        <v>44671</v>
      </c>
    </row>
    <row r="407" spans="1:15" x14ac:dyDescent="0.2">
      <c r="A407" s="228" t="s">
        <v>854</v>
      </c>
      <c r="B407" s="221">
        <v>13</v>
      </c>
      <c r="C407" s="221" t="s">
        <v>1049</v>
      </c>
      <c r="D407" s="221">
        <v>13.8</v>
      </c>
      <c r="E407" s="221" t="s">
        <v>1081</v>
      </c>
      <c r="F407" s="221" t="s">
        <v>722</v>
      </c>
      <c r="G407" s="221" t="s">
        <v>811</v>
      </c>
      <c r="H407" s="221"/>
      <c r="I407" s="206" t="s">
        <v>1300</v>
      </c>
      <c r="O407" s="235">
        <v>44671</v>
      </c>
    </row>
    <row r="408" spans="1:15" ht="75" x14ac:dyDescent="0.2">
      <c r="A408" s="228" t="s">
        <v>854</v>
      </c>
      <c r="B408" s="219">
        <v>13</v>
      </c>
      <c r="C408" s="219" t="s">
        <v>1049</v>
      </c>
      <c r="D408" s="219">
        <v>13.8</v>
      </c>
      <c r="E408" s="219" t="s">
        <v>1081</v>
      </c>
      <c r="F408" s="219" t="s">
        <v>720</v>
      </c>
      <c r="G408" s="219">
        <v>1</v>
      </c>
      <c r="H408" s="219" t="s">
        <v>1082</v>
      </c>
      <c r="I408" s="206" t="s">
        <v>1289</v>
      </c>
      <c r="J408" s="206" t="s">
        <v>1472</v>
      </c>
      <c r="O408" s="235">
        <v>44671</v>
      </c>
    </row>
    <row r="409" spans="1:15" ht="45" x14ac:dyDescent="0.2">
      <c r="A409" s="228" t="s">
        <v>854</v>
      </c>
      <c r="B409" s="219">
        <v>13</v>
      </c>
      <c r="C409" s="219" t="s">
        <v>1049</v>
      </c>
      <c r="D409" s="219">
        <v>13.8</v>
      </c>
      <c r="E409" s="219" t="s">
        <v>1081</v>
      </c>
      <c r="F409" s="219" t="s">
        <v>720</v>
      </c>
      <c r="G409" s="219">
        <v>2</v>
      </c>
      <c r="H409" s="219" t="s">
        <v>1083</v>
      </c>
      <c r="I409" s="206" t="s">
        <v>1289</v>
      </c>
      <c r="J409" s="206" t="s">
        <v>1473</v>
      </c>
      <c r="O409" s="235">
        <v>44671</v>
      </c>
    </row>
    <row r="410" spans="1:15" ht="30" x14ac:dyDescent="0.2">
      <c r="A410" s="228" t="s">
        <v>854</v>
      </c>
      <c r="B410" s="219">
        <v>13</v>
      </c>
      <c r="C410" s="219" t="s">
        <v>1049</v>
      </c>
      <c r="D410" s="219">
        <v>13.8</v>
      </c>
      <c r="E410" s="219" t="s">
        <v>1081</v>
      </c>
      <c r="F410" s="219" t="s">
        <v>720</v>
      </c>
      <c r="G410" s="219">
        <v>3</v>
      </c>
      <c r="H410" s="219" t="s">
        <v>1084</v>
      </c>
      <c r="I410" s="206" t="s">
        <v>1289</v>
      </c>
      <c r="J410" s="206" t="s">
        <v>1473</v>
      </c>
      <c r="O410" s="235">
        <v>44671</v>
      </c>
    </row>
    <row r="411" spans="1:15" ht="15.75" thickBot="1" x14ac:dyDescent="0.25">
      <c r="A411" s="228" t="s">
        <v>854</v>
      </c>
      <c r="B411" s="220">
        <v>13</v>
      </c>
      <c r="C411" s="220" t="s">
        <v>1049</v>
      </c>
      <c r="D411" s="220">
        <v>13.8</v>
      </c>
      <c r="E411" s="220" t="s">
        <v>1081</v>
      </c>
      <c r="F411" s="220" t="s">
        <v>718</v>
      </c>
      <c r="G411" s="220" t="s">
        <v>811</v>
      </c>
      <c r="H411" s="220"/>
      <c r="I411" s="206" t="s">
        <v>1300</v>
      </c>
      <c r="O411" s="235">
        <v>44671</v>
      </c>
    </row>
    <row r="412" spans="1:15" ht="28.5" customHeight="1" thickBot="1" x14ac:dyDescent="0.25">
      <c r="A412" s="222" t="s">
        <v>854</v>
      </c>
      <c r="B412" s="223">
        <v>13</v>
      </c>
      <c r="C412" s="223" t="s">
        <v>1049</v>
      </c>
      <c r="D412" s="223">
        <v>13.8</v>
      </c>
      <c r="E412" s="223" t="s">
        <v>1081</v>
      </c>
      <c r="F412" s="223" t="s">
        <v>1282</v>
      </c>
      <c r="G412" s="223">
        <v>5</v>
      </c>
      <c r="H412" s="223" t="s">
        <v>718</v>
      </c>
      <c r="I412" s="225"/>
      <c r="O412" s="235">
        <v>44671</v>
      </c>
    </row>
    <row r="413" spans="1:15" ht="30" x14ac:dyDescent="0.2">
      <c r="A413" s="228" t="s">
        <v>854</v>
      </c>
      <c r="B413" s="221">
        <v>13</v>
      </c>
      <c r="C413" s="221" t="s">
        <v>1049</v>
      </c>
      <c r="D413" s="221">
        <v>13.9</v>
      </c>
      <c r="E413" s="221" t="s">
        <v>1085</v>
      </c>
      <c r="F413" s="221" t="s">
        <v>722</v>
      </c>
      <c r="G413" s="221" t="s">
        <v>811</v>
      </c>
      <c r="H413" s="221"/>
      <c r="I413" s="206" t="s">
        <v>1300</v>
      </c>
      <c r="O413" s="235">
        <v>44671</v>
      </c>
    </row>
    <row r="414" spans="1:15" ht="60" customHeight="1" x14ac:dyDescent="0.2">
      <c r="A414" s="228" t="s">
        <v>854</v>
      </c>
      <c r="B414" s="219">
        <v>13</v>
      </c>
      <c r="C414" s="219" t="s">
        <v>1049</v>
      </c>
      <c r="D414" s="219">
        <v>13.9</v>
      </c>
      <c r="E414" s="219" t="s">
        <v>1085</v>
      </c>
      <c r="F414" s="219" t="s">
        <v>720</v>
      </c>
      <c r="G414" s="219">
        <v>1</v>
      </c>
      <c r="H414" s="219" t="s">
        <v>1086</v>
      </c>
      <c r="I414" s="206" t="s">
        <v>737</v>
      </c>
      <c r="J414" s="206" t="s">
        <v>1474</v>
      </c>
      <c r="K414" s="206" t="s">
        <v>1834</v>
      </c>
      <c r="L414" s="206" t="s">
        <v>1818</v>
      </c>
      <c r="O414" s="235">
        <v>44671</v>
      </c>
    </row>
    <row r="415" spans="1:15" ht="75.599999999999994" customHeight="1" x14ac:dyDescent="0.2">
      <c r="A415" s="228" t="s">
        <v>854</v>
      </c>
      <c r="B415" s="219">
        <v>13</v>
      </c>
      <c r="C415" s="219" t="s">
        <v>1049</v>
      </c>
      <c r="D415" s="219">
        <v>13.9</v>
      </c>
      <c r="E415" s="219" t="s">
        <v>1085</v>
      </c>
      <c r="F415" s="219" t="s">
        <v>720</v>
      </c>
      <c r="G415" s="219">
        <v>2</v>
      </c>
      <c r="H415" s="219" t="s">
        <v>1087</v>
      </c>
      <c r="I415" s="206" t="s">
        <v>737</v>
      </c>
      <c r="J415" s="206" t="s">
        <v>1474</v>
      </c>
      <c r="K415" s="206" t="s">
        <v>1834</v>
      </c>
      <c r="L415" s="206" t="s">
        <v>1818</v>
      </c>
      <c r="O415" s="235">
        <v>44671</v>
      </c>
    </row>
    <row r="416" spans="1:15" ht="116.45" customHeight="1" x14ac:dyDescent="0.2">
      <c r="A416" s="228" t="s">
        <v>854</v>
      </c>
      <c r="B416" s="219">
        <v>13</v>
      </c>
      <c r="C416" s="219" t="s">
        <v>1049</v>
      </c>
      <c r="D416" s="219">
        <v>13.9</v>
      </c>
      <c r="E416" s="219" t="s">
        <v>1085</v>
      </c>
      <c r="F416" s="219" t="s">
        <v>720</v>
      </c>
      <c r="G416" s="219">
        <v>3</v>
      </c>
      <c r="H416" s="219" t="s">
        <v>1088</v>
      </c>
      <c r="I416" s="206" t="s">
        <v>737</v>
      </c>
      <c r="J416" s="206" t="s">
        <v>1474</v>
      </c>
      <c r="K416" s="206" t="s">
        <v>1834</v>
      </c>
      <c r="L416" s="206" t="s">
        <v>1818</v>
      </c>
      <c r="O416" s="235">
        <v>44671</v>
      </c>
    </row>
    <row r="417" spans="1:15" ht="409.5" x14ac:dyDescent="0.2">
      <c r="A417" s="228" t="s">
        <v>854</v>
      </c>
      <c r="B417" s="219">
        <v>13</v>
      </c>
      <c r="C417" s="219" t="s">
        <v>1049</v>
      </c>
      <c r="D417" s="219">
        <v>13.9</v>
      </c>
      <c r="E417" s="219" t="s">
        <v>1085</v>
      </c>
      <c r="F417" s="219" t="s">
        <v>720</v>
      </c>
      <c r="G417" s="219" t="s">
        <v>874</v>
      </c>
      <c r="H417" s="219" t="s">
        <v>1089</v>
      </c>
      <c r="I417" s="206" t="s">
        <v>1300</v>
      </c>
      <c r="J417" s="206" t="s">
        <v>1320</v>
      </c>
      <c r="O417" s="235">
        <v>44671</v>
      </c>
    </row>
    <row r="418" spans="1:15" ht="45" x14ac:dyDescent="0.2">
      <c r="A418" s="228" t="s">
        <v>854</v>
      </c>
      <c r="B418" s="220">
        <v>13</v>
      </c>
      <c r="C418" s="220" t="s">
        <v>1049</v>
      </c>
      <c r="D418" s="220">
        <v>13.9</v>
      </c>
      <c r="E418" s="220" t="s">
        <v>1085</v>
      </c>
      <c r="F418" s="220" t="s">
        <v>718</v>
      </c>
      <c r="G418" s="220">
        <v>1</v>
      </c>
      <c r="H418" s="220" t="s">
        <v>1090</v>
      </c>
      <c r="I418" s="206" t="s">
        <v>737</v>
      </c>
      <c r="J418" s="206" t="s">
        <v>1474</v>
      </c>
      <c r="K418" s="206" t="s">
        <v>1834</v>
      </c>
      <c r="L418" s="206" t="s">
        <v>1818</v>
      </c>
      <c r="O418" s="235">
        <v>44671</v>
      </c>
    </row>
    <row r="419" spans="1:15" ht="45" x14ac:dyDescent="0.2">
      <c r="A419" s="228" t="s">
        <v>854</v>
      </c>
      <c r="B419" s="220">
        <v>13</v>
      </c>
      <c r="C419" s="220" t="s">
        <v>1049</v>
      </c>
      <c r="D419" s="220">
        <v>13.9</v>
      </c>
      <c r="E419" s="220" t="s">
        <v>1085</v>
      </c>
      <c r="F419" s="220" t="s">
        <v>718</v>
      </c>
      <c r="G419" s="220">
        <v>2</v>
      </c>
      <c r="H419" s="220" t="s">
        <v>1091</v>
      </c>
      <c r="I419" s="206" t="s">
        <v>737</v>
      </c>
      <c r="J419" s="206" t="s">
        <v>1474</v>
      </c>
      <c r="K419" s="206" t="s">
        <v>1834</v>
      </c>
      <c r="L419" s="206" t="s">
        <v>1818</v>
      </c>
      <c r="O419" s="235">
        <v>44671</v>
      </c>
    </row>
    <row r="420" spans="1:15" ht="60" x14ac:dyDescent="0.2">
      <c r="A420" s="228" t="s">
        <v>854</v>
      </c>
      <c r="B420" s="220">
        <v>13</v>
      </c>
      <c r="C420" s="220" t="s">
        <v>1049</v>
      </c>
      <c r="D420" s="220">
        <v>13.9</v>
      </c>
      <c r="E420" s="220" t="s">
        <v>1085</v>
      </c>
      <c r="F420" s="220" t="s">
        <v>718</v>
      </c>
      <c r="G420" s="220">
        <v>3</v>
      </c>
      <c r="H420" s="220" t="s">
        <v>1092</v>
      </c>
      <c r="I420" s="206" t="s">
        <v>737</v>
      </c>
      <c r="J420" s="206" t="s">
        <v>1475</v>
      </c>
      <c r="O420" s="235">
        <v>44671</v>
      </c>
    </row>
    <row r="421" spans="1:15" ht="66" customHeight="1" x14ac:dyDescent="0.2">
      <c r="A421" s="228" t="s">
        <v>854</v>
      </c>
      <c r="B421" s="220">
        <v>13</v>
      </c>
      <c r="C421" s="220" t="s">
        <v>1049</v>
      </c>
      <c r="D421" s="220">
        <v>13.9</v>
      </c>
      <c r="E421" s="220" t="s">
        <v>1085</v>
      </c>
      <c r="F421" s="220" t="s">
        <v>718</v>
      </c>
      <c r="G421" s="220">
        <v>4</v>
      </c>
      <c r="H421" s="220" t="s">
        <v>1093</v>
      </c>
      <c r="I421" s="206" t="s">
        <v>737</v>
      </c>
      <c r="J421" s="206" t="s">
        <v>1475</v>
      </c>
      <c r="O421" s="235">
        <v>44671</v>
      </c>
    </row>
    <row r="422" spans="1:15" ht="66.599999999999994" customHeight="1" thickBot="1" x14ac:dyDescent="0.25">
      <c r="A422" s="228" t="s">
        <v>854</v>
      </c>
      <c r="B422" s="220">
        <v>13</v>
      </c>
      <c r="C422" s="220" t="s">
        <v>1049</v>
      </c>
      <c r="D422" s="220">
        <v>13.9</v>
      </c>
      <c r="E422" s="220" t="s">
        <v>1085</v>
      </c>
      <c r="F422" s="220" t="s">
        <v>718</v>
      </c>
      <c r="G422" s="220">
        <v>5</v>
      </c>
      <c r="H422" s="220" t="s">
        <v>1094</v>
      </c>
      <c r="I422" s="206" t="s">
        <v>737</v>
      </c>
      <c r="J422" s="206" t="s">
        <v>1476</v>
      </c>
      <c r="O422" s="235">
        <v>44671</v>
      </c>
    </row>
    <row r="423" spans="1:15" ht="30.75" thickBot="1" x14ac:dyDescent="0.25">
      <c r="A423" s="222" t="s">
        <v>854</v>
      </c>
      <c r="B423" s="223">
        <v>13</v>
      </c>
      <c r="C423" s="223" t="s">
        <v>1049</v>
      </c>
      <c r="D423" s="223">
        <v>13.9</v>
      </c>
      <c r="E423" s="223" t="s">
        <v>1085</v>
      </c>
      <c r="F423" s="223" t="s">
        <v>1282</v>
      </c>
      <c r="G423" s="223">
        <v>1</v>
      </c>
      <c r="H423" s="223" t="s">
        <v>722</v>
      </c>
      <c r="I423" s="225"/>
      <c r="O423" s="235">
        <v>44671</v>
      </c>
    </row>
    <row r="424" spans="1:15" ht="75" x14ac:dyDescent="0.2">
      <c r="A424" s="228" t="s">
        <v>854</v>
      </c>
      <c r="B424" s="221">
        <v>13</v>
      </c>
      <c r="C424" s="221" t="s">
        <v>1049</v>
      </c>
      <c r="D424" s="221" t="s">
        <v>1095</v>
      </c>
      <c r="E424" s="221" t="s">
        <v>1096</v>
      </c>
      <c r="F424" s="221" t="s">
        <v>722</v>
      </c>
      <c r="G424" s="221">
        <v>1</v>
      </c>
      <c r="H424" s="221" t="s">
        <v>1097</v>
      </c>
      <c r="I424" s="206" t="s">
        <v>1289</v>
      </c>
      <c r="J424" s="206" t="s">
        <v>1477</v>
      </c>
      <c r="O424" s="235">
        <v>44671</v>
      </c>
    </row>
    <row r="425" spans="1:15" x14ac:dyDescent="0.2">
      <c r="A425" s="228" t="s">
        <v>854</v>
      </c>
      <c r="B425" s="219">
        <v>13</v>
      </c>
      <c r="C425" s="219" t="s">
        <v>1049</v>
      </c>
      <c r="D425" s="219" t="s">
        <v>1095</v>
      </c>
      <c r="E425" s="219" t="s">
        <v>1096</v>
      </c>
      <c r="F425" s="219" t="s">
        <v>720</v>
      </c>
      <c r="G425" s="219" t="s">
        <v>811</v>
      </c>
      <c r="H425" s="219"/>
      <c r="I425" s="206" t="s">
        <v>1300</v>
      </c>
      <c r="O425" s="235">
        <v>44671</v>
      </c>
    </row>
    <row r="426" spans="1:15" ht="15.75" thickBot="1" x14ac:dyDescent="0.25">
      <c r="A426" s="228" t="s">
        <v>854</v>
      </c>
      <c r="B426" s="220">
        <v>13</v>
      </c>
      <c r="C426" s="220" t="s">
        <v>1049</v>
      </c>
      <c r="D426" s="220" t="s">
        <v>1095</v>
      </c>
      <c r="E426" s="220" t="s">
        <v>1096</v>
      </c>
      <c r="F426" s="220" t="s">
        <v>718</v>
      </c>
      <c r="G426" s="220"/>
      <c r="H426" s="220"/>
      <c r="I426" s="206" t="s">
        <v>1300</v>
      </c>
      <c r="O426" s="235">
        <v>44671</v>
      </c>
    </row>
    <row r="427" spans="1:15" ht="22.15" customHeight="1" thickBot="1" x14ac:dyDescent="0.25">
      <c r="A427" s="222" t="s">
        <v>854</v>
      </c>
      <c r="B427" s="223">
        <v>13</v>
      </c>
      <c r="C427" s="223" t="s">
        <v>1049</v>
      </c>
      <c r="D427" s="223" t="s">
        <v>1095</v>
      </c>
      <c r="E427" s="223" t="s">
        <v>1096</v>
      </c>
      <c r="F427" s="223" t="s">
        <v>1282</v>
      </c>
      <c r="G427" s="223">
        <v>5</v>
      </c>
      <c r="H427" s="223" t="s">
        <v>718</v>
      </c>
      <c r="I427" s="225"/>
      <c r="O427" s="235">
        <v>44671</v>
      </c>
    </row>
    <row r="428" spans="1:15" ht="105" x14ac:dyDescent="0.2">
      <c r="A428" s="228" t="s">
        <v>854</v>
      </c>
      <c r="B428" s="221">
        <v>14</v>
      </c>
      <c r="C428" s="221" t="s">
        <v>1098</v>
      </c>
      <c r="D428" s="221" t="s">
        <v>1099</v>
      </c>
      <c r="E428" s="221" t="s">
        <v>1100</v>
      </c>
      <c r="F428" s="221" t="s">
        <v>722</v>
      </c>
      <c r="G428" s="221">
        <v>1</v>
      </c>
      <c r="H428" s="221" t="s">
        <v>1101</v>
      </c>
      <c r="I428" s="206" t="s">
        <v>1289</v>
      </c>
      <c r="J428" s="206" t="s">
        <v>1478</v>
      </c>
      <c r="O428" s="235">
        <v>44671</v>
      </c>
    </row>
    <row r="429" spans="1:15" ht="90" x14ac:dyDescent="0.2">
      <c r="A429" s="228" t="s">
        <v>854</v>
      </c>
      <c r="B429" s="219">
        <v>14</v>
      </c>
      <c r="C429" s="219" t="s">
        <v>1098</v>
      </c>
      <c r="D429" s="219" t="s">
        <v>1099</v>
      </c>
      <c r="E429" s="219" t="s">
        <v>1100</v>
      </c>
      <c r="F429" s="219" t="s">
        <v>720</v>
      </c>
      <c r="G429" s="219">
        <v>1</v>
      </c>
      <c r="H429" s="219" t="s">
        <v>1102</v>
      </c>
      <c r="I429" s="206" t="s">
        <v>1289</v>
      </c>
      <c r="J429" s="206" t="s">
        <v>1835</v>
      </c>
      <c r="O429" s="235">
        <v>44671</v>
      </c>
    </row>
    <row r="430" spans="1:15" ht="60" x14ac:dyDescent="0.2">
      <c r="A430" s="228" t="s">
        <v>854</v>
      </c>
      <c r="B430" s="219">
        <v>14</v>
      </c>
      <c r="C430" s="219" t="s">
        <v>1098</v>
      </c>
      <c r="D430" s="219" t="s">
        <v>1099</v>
      </c>
      <c r="E430" s="219" t="s">
        <v>1100</v>
      </c>
      <c r="F430" s="219" t="s">
        <v>720</v>
      </c>
      <c r="G430" s="219">
        <v>2</v>
      </c>
      <c r="H430" s="219" t="s">
        <v>1103</v>
      </c>
      <c r="I430" s="206" t="s">
        <v>1289</v>
      </c>
      <c r="J430" s="206" t="s">
        <v>1478</v>
      </c>
      <c r="O430" s="235">
        <v>44671</v>
      </c>
    </row>
    <row r="431" spans="1:15" ht="45" x14ac:dyDescent="0.2">
      <c r="A431" s="228" t="s">
        <v>854</v>
      </c>
      <c r="B431" s="219">
        <v>14</v>
      </c>
      <c r="C431" s="219" t="s">
        <v>1098</v>
      </c>
      <c r="D431" s="219" t="s">
        <v>1099</v>
      </c>
      <c r="E431" s="219" t="s">
        <v>1100</v>
      </c>
      <c r="F431" s="219" t="s">
        <v>720</v>
      </c>
      <c r="G431" s="219">
        <v>3</v>
      </c>
      <c r="H431" s="219" t="s">
        <v>1104</v>
      </c>
      <c r="I431" s="206" t="s">
        <v>1289</v>
      </c>
      <c r="J431" s="206" t="s">
        <v>1479</v>
      </c>
      <c r="O431" s="235">
        <v>44671</v>
      </c>
    </row>
    <row r="432" spans="1:15" ht="75" x14ac:dyDescent="0.2">
      <c r="A432" s="228" t="s">
        <v>854</v>
      </c>
      <c r="B432" s="219">
        <v>14</v>
      </c>
      <c r="C432" s="219" t="s">
        <v>1098</v>
      </c>
      <c r="D432" s="219" t="s">
        <v>1099</v>
      </c>
      <c r="E432" s="219" t="s">
        <v>1100</v>
      </c>
      <c r="F432" s="219" t="s">
        <v>720</v>
      </c>
      <c r="G432" s="219">
        <v>4</v>
      </c>
      <c r="H432" s="219" t="s">
        <v>1105</v>
      </c>
      <c r="I432" s="206" t="s">
        <v>1289</v>
      </c>
      <c r="J432" s="206" t="s">
        <v>1480</v>
      </c>
      <c r="O432" s="235">
        <v>44671</v>
      </c>
    </row>
    <row r="433" spans="1:15" ht="15.75" thickBot="1" x14ac:dyDescent="0.25">
      <c r="A433" s="228" t="s">
        <v>854</v>
      </c>
      <c r="B433" s="220">
        <v>14</v>
      </c>
      <c r="C433" s="220" t="s">
        <v>1098</v>
      </c>
      <c r="D433" s="220" t="s">
        <v>1099</v>
      </c>
      <c r="E433" s="220" t="s">
        <v>1100</v>
      </c>
      <c r="F433" s="220" t="s">
        <v>718</v>
      </c>
      <c r="G433" s="220" t="s">
        <v>811</v>
      </c>
      <c r="H433" s="220"/>
      <c r="I433" s="206" t="s">
        <v>1300</v>
      </c>
      <c r="O433" s="235">
        <v>44671</v>
      </c>
    </row>
    <row r="434" spans="1:15" ht="19.899999999999999" customHeight="1" thickBot="1" x14ac:dyDescent="0.25">
      <c r="A434" s="222" t="s">
        <v>854</v>
      </c>
      <c r="B434" s="223">
        <v>14</v>
      </c>
      <c r="C434" s="223" t="s">
        <v>1098</v>
      </c>
      <c r="D434" s="223" t="s">
        <v>1099</v>
      </c>
      <c r="E434" s="223" t="s">
        <v>1100</v>
      </c>
      <c r="F434" s="223" t="s">
        <v>1282</v>
      </c>
      <c r="G434" s="223">
        <v>5</v>
      </c>
      <c r="H434" s="223" t="s">
        <v>718</v>
      </c>
      <c r="I434" s="225"/>
      <c r="O434" s="235">
        <v>44671</v>
      </c>
    </row>
    <row r="435" spans="1:15" x14ac:dyDescent="0.2">
      <c r="A435" s="228" t="s">
        <v>854</v>
      </c>
      <c r="B435" s="221">
        <v>14</v>
      </c>
      <c r="C435" s="221" t="s">
        <v>1098</v>
      </c>
      <c r="D435" s="221" t="s">
        <v>1106</v>
      </c>
      <c r="E435" s="221" t="s">
        <v>1107</v>
      </c>
      <c r="F435" s="221" t="s">
        <v>722</v>
      </c>
      <c r="G435" s="221" t="s">
        <v>811</v>
      </c>
      <c r="H435" s="221"/>
      <c r="I435" s="206" t="s">
        <v>1300</v>
      </c>
      <c r="O435" s="235">
        <v>44671</v>
      </c>
    </row>
    <row r="436" spans="1:15" ht="30" x14ac:dyDescent="0.2">
      <c r="A436" s="228" t="s">
        <v>854</v>
      </c>
      <c r="B436" s="219">
        <v>14</v>
      </c>
      <c r="C436" s="219" t="s">
        <v>1098</v>
      </c>
      <c r="D436" s="219" t="s">
        <v>1106</v>
      </c>
      <c r="E436" s="219" t="s">
        <v>1107</v>
      </c>
      <c r="F436" s="219" t="s">
        <v>720</v>
      </c>
      <c r="G436" s="219">
        <v>1</v>
      </c>
      <c r="H436" s="219" t="s">
        <v>1108</v>
      </c>
      <c r="I436" s="206" t="s">
        <v>737</v>
      </c>
      <c r="J436" s="206" t="s">
        <v>1481</v>
      </c>
      <c r="K436" s="206" t="s">
        <v>1836</v>
      </c>
      <c r="L436" s="206" t="s">
        <v>1818</v>
      </c>
      <c r="O436" s="235">
        <v>44671</v>
      </c>
    </row>
    <row r="437" spans="1:15" ht="30" x14ac:dyDescent="0.2">
      <c r="A437" s="228" t="s">
        <v>854</v>
      </c>
      <c r="B437" s="219">
        <v>14</v>
      </c>
      <c r="C437" s="219" t="s">
        <v>1098</v>
      </c>
      <c r="D437" s="219" t="s">
        <v>1106</v>
      </c>
      <c r="E437" s="219" t="s">
        <v>1107</v>
      </c>
      <c r="F437" s="219" t="s">
        <v>720</v>
      </c>
      <c r="G437" s="219">
        <v>2</v>
      </c>
      <c r="H437" s="219" t="s">
        <v>1109</v>
      </c>
      <c r="I437" s="206" t="s">
        <v>1289</v>
      </c>
      <c r="J437" s="206" t="s">
        <v>1482</v>
      </c>
      <c r="O437" s="235">
        <v>44671</v>
      </c>
    </row>
    <row r="438" spans="1:15" ht="54" customHeight="1" x14ac:dyDescent="0.2">
      <c r="A438" s="228" t="s">
        <v>854</v>
      </c>
      <c r="B438" s="219">
        <v>14</v>
      </c>
      <c r="C438" s="219" t="s">
        <v>1098</v>
      </c>
      <c r="D438" s="219" t="s">
        <v>1106</v>
      </c>
      <c r="E438" s="219" t="s">
        <v>1107</v>
      </c>
      <c r="F438" s="219" t="s">
        <v>720</v>
      </c>
      <c r="G438" s="219">
        <v>3</v>
      </c>
      <c r="H438" s="219" t="s">
        <v>1110</v>
      </c>
      <c r="I438" s="206" t="s">
        <v>1289</v>
      </c>
      <c r="J438" s="206" t="s">
        <v>1837</v>
      </c>
      <c r="K438" s="206" t="s">
        <v>1836</v>
      </c>
      <c r="L438" s="206" t="s">
        <v>1818</v>
      </c>
      <c r="O438" s="235">
        <v>44671</v>
      </c>
    </row>
    <row r="439" spans="1:15" ht="66.599999999999994" customHeight="1" x14ac:dyDescent="0.2">
      <c r="A439" s="228" t="s">
        <v>854</v>
      </c>
      <c r="B439" s="219">
        <v>14</v>
      </c>
      <c r="C439" s="219" t="s">
        <v>1098</v>
      </c>
      <c r="D439" s="219" t="s">
        <v>1106</v>
      </c>
      <c r="E439" s="219" t="s">
        <v>1107</v>
      </c>
      <c r="F439" s="219" t="s">
        <v>720</v>
      </c>
      <c r="G439" s="219">
        <v>4</v>
      </c>
      <c r="H439" s="219" t="s">
        <v>1111</v>
      </c>
      <c r="I439" s="206" t="s">
        <v>1289</v>
      </c>
      <c r="J439" s="206" t="s">
        <v>1483</v>
      </c>
      <c r="O439" s="235">
        <v>44671</v>
      </c>
    </row>
    <row r="440" spans="1:15" ht="270" x14ac:dyDescent="0.2">
      <c r="A440" s="228" t="s">
        <v>854</v>
      </c>
      <c r="B440" s="219">
        <v>14</v>
      </c>
      <c r="C440" s="219" t="s">
        <v>1098</v>
      </c>
      <c r="D440" s="219" t="s">
        <v>1106</v>
      </c>
      <c r="E440" s="219" t="s">
        <v>1107</v>
      </c>
      <c r="F440" s="219" t="s">
        <v>720</v>
      </c>
      <c r="G440" s="219" t="s">
        <v>770</v>
      </c>
      <c r="H440" s="219" t="s">
        <v>1112</v>
      </c>
      <c r="I440" s="206" t="s">
        <v>1300</v>
      </c>
      <c r="O440" s="235">
        <v>44671</v>
      </c>
    </row>
    <row r="441" spans="1:15" ht="105" x14ac:dyDescent="0.2">
      <c r="A441" s="228" t="s">
        <v>854</v>
      </c>
      <c r="B441" s="220">
        <v>14</v>
      </c>
      <c r="C441" s="220" t="s">
        <v>1098</v>
      </c>
      <c r="D441" s="220" t="s">
        <v>1106</v>
      </c>
      <c r="E441" s="220" t="s">
        <v>1107</v>
      </c>
      <c r="F441" s="220" t="s">
        <v>718</v>
      </c>
      <c r="G441" s="220">
        <v>1</v>
      </c>
      <c r="H441" s="220" t="s">
        <v>1113</v>
      </c>
      <c r="I441" s="206" t="s">
        <v>737</v>
      </c>
      <c r="J441" s="206" t="s">
        <v>1484</v>
      </c>
      <c r="O441" s="235">
        <v>44671</v>
      </c>
    </row>
    <row r="442" spans="1:15" ht="60" x14ac:dyDescent="0.2">
      <c r="A442" s="228" t="s">
        <v>854</v>
      </c>
      <c r="B442" s="220">
        <v>14</v>
      </c>
      <c r="C442" s="220" t="s">
        <v>1098</v>
      </c>
      <c r="D442" s="220" t="s">
        <v>1106</v>
      </c>
      <c r="E442" s="220" t="s">
        <v>1107</v>
      </c>
      <c r="F442" s="220" t="s">
        <v>718</v>
      </c>
      <c r="G442" s="220">
        <v>2</v>
      </c>
      <c r="H442" s="220" t="s">
        <v>1114</v>
      </c>
      <c r="I442" s="206" t="s">
        <v>737</v>
      </c>
      <c r="J442" s="206" t="s">
        <v>1485</v>
      </c>
      <c r="O442" s="235">
        <v>44671</v>
      </c>
    </row>
    <row r="443" spans="1:15" ht="45" x14ac:dyDescent="0.2">
      <c r="A443" s="228" t="s">
        <v>854</v>
      </c>
      <c r="B443" s="220">
        <v>14</v>
      </c>
      <c r="C443" s="220" t="s">
        <v>1098</v>
      </c>
      <c r="D443" s="220" t="s">
        <v>1106</v>
      </c>
      <c r="E443" s="220" t="s">
        <v>1107</v>
      </c>
      <c r="F443" s="220" t="s">
        <v>718</v>
      </c>
      <c r="G443" s="220">
        <v>3</v>
      </c>
      <c r="H443" s="220" t="s">
        <v>1115</v>
      </c>
      <c r="I443" s="206" t="s">
        <v>737</v>
      </c>
      <c r="J443" s="206" t="s">
        <v>1485</v>
      </c>
      <c r="K443" s="206" t="s">
        <v>1828</v>
      </c>
      <c r="L443" s="206" t="s">
        <v>1829</v>
      </c>
      <c r="O443" s="235">
        <v>44671</v>
      </c>
    </row>
    <row r="444" spans="1:15" ht="75.75" thickBot="1" x14ac:dyDescent="0.25">
      <c r="A444" s="228" t="s">
        <v>854</v>
      </c>
      <c r="B444" s="220">
        <v>14</v>
      </c>
      <c r="C444" s="220" t="s">
        <v>1098</v>
      </c>
      <c r="D444" s="220" t="s">
        <v>1106</v>
      </c>
      <c r="E444" s="220" t="s">
        <v>1107</v>
      </c>
      <c r="F444" s="220" t="s">
        <v>718</v>
      </c>
      <c r="G444" s="220">
        <v>4</v>
      </c>
      <c r="H444" s="220" t="s">
        <v>1116</v>
      </c>
      <c r="I444" s="206" t="s">
        <v>737</v>
      </c>
      <c r="J444" s="206" t="s">
        <v>1486</v>
      </c>
      <c r="O444" s="235">
        <v>44671</v>
      </c>
    </row>
    <row r="445" spans="1:15" ht="22.9" customHeight="1" thickBot="1" x14ac:dyDescent="0.25">
      <c r="A445" s="222" t="s">
        <v>854</v>
      </c>
      <c r="B445" s="223">
        <v>14</v>
      </c>
      <c r="C445" s="223" t="s">
        <v>1098</v>
      </c>
      <c r="D445" s="223" t="s">
        <v>1106</v>
      </c>
      <c r="E445" s="223" t="s">
        <v>1107</v>
      </c>
      <c r="F445" s="223" t="s">
        <v>1282</v>
      </c>
      <c r="G445" s="223">
        <v>2</v>
      </c>
      <c r="H445" s="223" t="s">
        <v>721</v>
      </c>
      <c r="I445" s="225"/>
      <c r="O445" s="235">
        <v>44671</v>
      </c>
    </row>
    <row r="446" spans="1:15" x14ac:dyDescent="0.2">
      <c r="A446" s="228" t="s">
        <v>854</v>
      </c>
      <c r="B446" s="221">
        <v>14</v>
      </c>
      <c r="C446" s="221" t="s">
        <v>1098</v>
      </c>
      <c r="D446" s="221" t="s">
        <v>1117</v>
      </c>
      <c r="E446" s="221" t="s">
        <v>1118</v>
      </c>
      <c r="F446" s="221" t="s">
        <v>722</v>
      </c>
      <c r="G446" s="221" t="s">
        <v>811</v>
      </c>
      <c r="H446" s="221"/>
      <c r="I446" s="206" t="s">
        <v>1300</v>
      </c>
      <c r="O446" s="235">
        <v>44671</v>
      </c>
    </row>
    <row r="447" spans="1:15" ht="160.15" customHeight="1" x14ac:dyDescent="0.2">
      <c r="A447" s="228" t="s">
        <v>854</v>
      </c>
      <c r="B447" s="219">
        <v>14</v>
      </c>
      <c r="C447" s="219" t="s">
        <v>1098</v>
      </c>
      <c r="D447" s="219" t="s">
        <v>1117</v>
      </c>
      <c r="E447" s="219" t="s">
        <v>1118</v>
      </c>
      <c r="F447" s="219" t="s">
        <v>720</v>
      </c>
      <c r="G447" s="219">
        <v>1</v>
      </c>
      <c r="H447" s="219" t="s">
        <v>1119</v>
      </c>
      <c r="I447" s="206" t="s">
        <v>1289</v>
      </c>
      <c r="J447" s="206" t="s">
        <v>1487</v>
      </c>
      <c r="O447" s="235">
        <v>44671</v>
      </c>
    </row>
    <row r="448" spans="1:15" ht="97.9" customHeight="1" x14ac:dyDescent="0.2">
      <c r="A448" s="228" t="s">
        <v>854</v>
      </c>
      <c r="B448" s="219">
        <v>14</v>
      </c>
      <c r="C448" s="219" t="s">
        <v>1098</v>
      </c>
      <c r="D448" s="219" t="s">
        <v>1117</v>
      </c>
      <c r="E448" s="219" t="s">
        <v>1118</v>
      </c>
      <c r="F448" s="219" t="s">
        <v>720</v>
      </c>
      <c r="G448" s="219">
        <v>2</v>
      </c>
      <c r="H448" s="219" t="s">
        <v>1120</v>
      </c>
      <c r="I448" s="206" t="s">
        <v>737</v>
      </c>
      <c r="J448" s="206" t="s">
        <v>1288</v>
      </c>
      <c r="K448" s="206" t="s">
        <v>1836</v>
      </c>
      <c r="L448" s="206" t="s">
        <v>1818</v>
      </c>
      <c r="O448" s="235">
        <v>44671</v>
      </c>
    </row>
    <row r="449" spans="1:15" ht="15.75" thickBot="1" x14ac:dyDescent="0.25">
      <c r="A449" s="228" t="s">
        <v>854</v>
      </c>
      <c r="B449" s="220">
        <v>14</v>
      </c>
      <c r="C449" s="220" t="s">
        <v>1098</v>
      </c>
      <c r="D449" s="220" t="s">
        <v>1117</v>
      </c>
      <c r="E449" s="220" t="s">
        <v>1118</v>
      </c>
      <c r="F449" s="220" t="s">
        <v>718</v>
      </c>
      <c r="G449" s="220" t="s">
        <v>811</v>
      </c>
      <c r="H449" s="220"/>
      <c r="I449" s="206" t="s">
        <v>1300</v>
      </c>
      <c r="O449" s="235">
        <v>44671</v>
      </c>
    </row>
    <row r="450" spans="1:15" ht="22.15" customHeight="1" thickBot="1" x14ac:dyDescent="0.25">
      <c r="A450" s="222" t="s">
        <v>854</v>
      </c>
      <c r="B450" s="223">
        <v>14</v>
      </c>
      <c r="C450" s="223" t="s">
        <v>1098</v>
      </c>
      <c r="D450" s="223" t="s">
        <v>1117</v>
      </c>
      <c r="E450" s="223" t="s">
        <v>1118</v>
      </c>
      <c r="F450" s="223" t="s">
        <v>1282</v>
      </c>
      <c r="G450" s="223">
        <v>2</v>
      </c>
      <c r="H450" s="223" t="s">
        <v>721</v>
      </c>
      <c r="I450" s="225"/>
      <c r="O450" s="235">
        <v>44671</v>
      </c>
    </row>
    <row r="451" spans="1:15" x14ac:dyDescent="0.2">
      <c r="A451" s="228" t="s">
        <v>854</v>
      </c>
      <c r="B451" s="221">
        <v>14</v>
      </c>
      <c r="C451" s="221" t="s">
        <v>1098</v>
      </c>
      <c r="D451" s="221" t="s">
        <v>1121</v>
      </c>
      <c r="E451" s="221" t="s">
        <v>1122</v>
      </c>
      <c r="F451" s="221" t="s">
        <v>722</v>
      </c>
      <c r="G451" s="221" t="s">
        <v>811</v>
      </c>
      <c r="H451" s="221"/>
      <c r="I451" s="206" t="s">
        <v>1300</v>
      </c>
      <c r="O451" s="235">
        <v>44671</v>
      </c>
    </row>
    <row r="452" spans="1:15" ht="60" x14ac:dyDescent="0.2">
      <c r="A452" s="228" t="s">
        <v>854</v>
      </c>
      <c r="B452" s="219">
        <v>14</v>
      </c>
      <c r="C452" s="219" t="s">
        <v>1098</v>
      </c>
      <c r="D452" s="219" t="s">
        <v>1121</v>
      </c>
      <c r="E452" s="219" t="s">
        <v>1122</v>
      </c>
      <c r="F452" s="219" t="s">
        <v>720</v>
      </c>
      <c r="G452" s="219">
        <v>1</v>
      </c>
      <c r="H452" s="219" t="s">
        <v>1123</v>
      </c>
      <c r="I452" s="206" t="s">
        <v>737</v>
      </c>
      <c r="J452" s="206" t="s">
        <v>1488</v>
      </c>
      <c r="O452" s="235">
        <v>44671</v>
      </c>
    </row>
    <row r="453" spans="1:15" ht="60" x14ac:dyDescent="0.2">
      <c r="A453" s="228" t="s">
        <v>854</v>
      </c>
      <c r="B453" s="219">
        <v>14</v>
      </c>
      <c r="C453" s="219" t="s">
        <v>1098</v>
      </c>
      <c r="D453" s="219" t="s">
        <v>1121</v>
      </c>
      <c r="E453" s="219" t="s">
        <v>1122</v>
      </c>
      <c r="F453" s="219" t="s">
        <v>720</v>
      </c>
      <c r="G453" s="219">
        <v>2</v>
      </c>
      <c r="H453" s="219" t="s">
        <v>1124</v>
      </c>
      <c r="I453" s="206" t="s">
        <v>737</v>
      </c>
      <c r="J453" s="206" t="s">
        <v>1488</v>
      </c>
      <c r="O453" s="235">
        <v>44671</v>
      </c>
    </row>
    <row r="454" spans="1:15" ht="60" x14ac:dyDescent="0.2">
      <c r="A454" s="228" t="s">
        <v>854</v>
      </c>
      <c r="B454" s="220">
        <v>14</v>
      </c>
      <c r="C454" s="220" t="s">
        <v>1098</v>
      </c>
      <c r="D454" s="220" t="s">
        <v>1121</v>
      </c>
      <c r="E454" s="220" t="s">
        <v>1122</v>
      </c>
      <c r="F454" s="220" t="s">
        <v>718</v>
      </c>
      <c r="G454" s="220">
        <v>1</v>
      </c>
      <c r="H454" s="220" t="s">
        <v>1125</v>
      </c>
      <c r="I454" s="206" t="s">
        <v>737</v>
      </c>
      <c r="J454" s="206" t="s">
        <v>1488</v>
      </c>
      <c r="O454" s="235">
        <v>44671</v>
      </c>
    </row>
    <row r="455" spans="1:15" ht="75" x14ac:dyDescent="0.2">
      <c r="A455" s="228" t="s">
        <v>854</v>
      </c>
      <c r="B455" s="220">
        <v>14</v>
      </c>
      <c r="C455" s="220" t="s">
        <v>1098</v>
      </c>
      <c r="D455" s="220" t="s">
        <v>1121</v>
      </c>
      <c r="E455" s="220" t="s">
        <v>1122</v>
      </c>
      <c r="F455" s="220" t="s">
        <v>718</v>
      </c>
      <c r="G455" s="220">
        <v>2</v>
      </c>
      <c r="H455" s="220" t="s">
        <v>321</v>
      </c>
      <c r="I455" s="206" t="s">
        <v>737</v>
      </c>
      <c r="J455" s="206" t="s">
        <v>1488</v>
      </c>
      <c r="O455" s="235">
        <v>44671</v>
      </c>
    </row>
    <row r="456" spans="1:15" ht="30" x14ac:dyDescent="0.2">
      <c r="A456" s="228" t="s">
        <v>854</v>
      </c>
      <c r="B456" s="220">
        <v>14</v>
      </c>
      <c r="C456" s="220" t="s">
        <v>1098</v>
      </c>
      <c r="D456" s="220" t="s">
        <v>1121</v>
      </c>
      <c r="E456" s="220" t="s">
        <v>1122</v>
      </c>
      <c r="F456" s="220" t="s">
        <v>718</v>
      </c>
      <c r="G456" s="220">
        <v>3</v>
      </c>
      <c r="H456" s="220" t="s">
        <v>1126</v>
      </c>
      <c r="I456" s="206" t="s">
        <v>737</v>
      </c>
      <c r="J456" s="206" t="s">
        <v>1488</v>
      </c>
      <c r="O456" s="235">
        <v>44671</v>
      </c>
    </row>
    <row r="457" spans="1:15" ht="60.75" thickBot="1" x14ac:dyDescent="0.25">
      <c r="A457" s="228" t="s">
        <v>854</v>
      </c>
      <c r="B457" s="220">
        <v>14</v>
      </c>
      <c r="C457" s="220" t="s">
        <v>1098</v>
      </c>
      <c r="D457" s="220" t="s">
        <v>1121</v>
      </c>
      <c r="E457" s="220" t="s">
        <v>1122</v>
      </c>
      <c r="F457" s="220" t="s">
        <v>718</v>
      </c>
      <c r="G457" s="220">
        <v>4</v>
      </c>
      <c r="H457" s="220" t="s">
        <v>1127</v>
      </c>
      <c r="I457" s="206" t="s">
        <v>737</v>
      </c>
      <c r="J457" s="206" t="s">
        <v>1489</v>
      </c>
      <c r="O457" s="235">
        <v>44671</v>
      </c>
    </row>
    <row r="458" spans="1:15" ht="20.65" customHeight="1" thickBot="1" x14ac:dyDescent="0.25">
      <c r="A458" s="222" t="s">
        <v>854</v>
      </c>
      <c r="B458" s="223">
        <v>14</v>
      </c>
      <c r="C458" s="223" t="s">
        <v>1098</v>
      </c>
      <c r="D458" s="223" t="s">
        <v>1121</v>
      </c>
      <c r="E458" s="223" t="s">
        <v>1122</v>
      </c>
      <c r="F458" s="223" t="s">
        <v>1282</v>
      </c>
      <c r="G458" s="223">
        <v>0</v>
      </c>
      <c r="H458" s="223" t="s">
        <v>724</v>
      </c>
      <c r="I458" s="225"/>
      <c r="O458" s="235">
        <v>44671</v>
      </c>
    </row>
    <row r="459" spans="1:15" ht="37.9" customHeight="1" x14ac:dyDescent="0.2">
      <c r="A459" s="228" t="s">
        <v>854</v>
      </c>
      <c r="B459" s="221">
        <v>14</v>
      </c>
      <c r="C459" s="221" t="s">
        <v>1098</v>
      </c>
      <c r="D459" s="221" t="s">
        <v>1128</v>
      </c>
      <c r="E459" s="221" t="s">
        <v>1129</v>
      </c>
      <c r="F459" s="221" t="s">
        <v>722</v>
      </c>
      <c r="G459" s="221">
        <v>1</v>
      </c>
      <c r="H459" s="221" t="s">
        <v>1130</v>
      </c>
      <c r="I459" s="206" t="s">
        <v>1289</v>
      </c>
      <c r="J459" s="206" t="s">
        <v>1838</v>
      </c>
      <c r="O459" s="235">
        <v>44671</v>
      </c>
    </row>
    <row r="460" spans="1:15" ht="45" x14ac:dyDescent="0.2">
      <c r="A460" s="228" t="s">
        <v>854</v>
      </c>
      <c r="B460" s="219">
        <v>14</v>
      </c>
      <c r="C460" s="219" t="s">
        <v>1098</v>
      </c>
      <c r="D460" s="219" t="s">
        <v>1128</v>
      </c>
      <c r="E460" s="219" t="s">
        <v>1129</v>
      </c>
      <c r="F460" s="219" t="s">
        <v>720</v>
      </c>
      <c r="G460" s="219">
        <v>1</v>
      </c>
      <c r="H460" s="219" t="s">
        <v>1131</v>
      </c>
      <c r="I460" s="206" t="s">
        <v>1289</v>
      </c>
      <c r="J460" s="206" t="s">
        <v>1490</v>
      </c>
      <c r="O460" s="235">
        <v>44671</v>
      </c>
    </row>
    <row r="461" spans="1:15" ht="45" x14ac:dyDescent="0.2">
      <c r="A461" s="228" t="s">
        <v>854</v>
      </c>
      <c r="B461" s="219">
        <v>14</v>
      </c>
      <c r="C461" s="219" t="s">
        <v>1098</v>
      </c>
      <c r="D461" s="219" t="s">
        <v>1128</v>
      </c>
      <c r="E461" s="219" t="s">
        <v>1129</v>
      </c>
      <c r="F461" s="219" t="s">
        <v>720</v>
      </c>
      <c r="G461" s="219">
        <v>2</v>
      </c>
      <c r="H461" s="219" t="s">
        <v>1132</v>
      </c>
      <c r="I461" s="206" t="s">
        <v>1289</v>
      </c>
      <c r="J461" s="206" t="s">
        <v>1491</v>
      </c>
      <c r="O461" s="235">
        <v>44671</v>
      </c>
    </row>
    <row r="462" spans="1:15" ht="90" x14ac:dyDescent="0.2">
      <c r="A462" s="228" t="s">
        <v>854</v>
      </c>
      <c r="B462" s="219">
        <v>14</v>
      </c>
      <c r="C462" s="219" t="s">
        <v>1098</v>
      </c>
      <c r="D462" s="219" t="s">
        <v>1128</v>
      </c>
      <c r="E462" s="219" t="s">
        <v>1129</v>
      </c>
      <c r="F462" s="219" t="s">
        <v>720</v>
      </c>
      <c r="G462" s="219" t="s">
        <v>874</v>
      </c>
      <c r="H462" s="219" t="s">
        <v>1133</v>
      </c>
      <c r="I462" s="206" t="s">
        <v>1300</v>
      </c>
      <c r="J462" s="206" t="s">
        <v>1320</v>
      </c>
      <c r="O462" s="235">
        <v>44671</v>
      </c>
    </row>
    <row r="463" spans="1:15" ht="15.75" thickBot="1" x14ac:dyDescent="0.25">
      <c r="A463" s="228" t="s">
        <v>854</v>
      </c>
      <c r="B463" s="220">
        <v>14</v>
      </c>
      <c r="C463" s="220" t="s">
        <v>1098</v>
      </c>
      <c r="D463" s="220" t="s">
        <v>1128</v>
      </c>
      <c r="E463" s="220" t="s">
        <v>1129</v>
      </c>
      <c r="F463" s="220" t="s">
        <v>718</v>
      </c>
      <c r="G463" s="220" t="s">
        <v>811</v>
      </c>
      <c r="H463" s="220"/>
      <c r="I463" s="206" t="s">
        <v>1300</v>
      </c>
      <c r="O463" s="235">
        <v>44671</v>
      </c>
    </row>
    <row r="464" spans="1:15" ht="33.4" customHeight="1" thickBot="1" x14ac:dyDescent="0.25">
      <c r="A464" s="222" t="s">
        <v>854</v>
      </c>
      <c r="B464" s="223">
        <v>14</v>
      </c>
      <c r="C464" s="223" t="s">
        <v>1098</v>
      </c>
      <c r="D464" s="223" t="s">
        <v>1128</v>
      </c>
      <c r="E464" s="223" t="s">
        <v>1129</v>
      </c>
      <c r="F464" s="223" t="s">
        <v>1282</v>
      </c>
      <c r="G464" s="223">
        <v>5</v>
      </c>
      <c r="H464" s="223" t="s">
        <v>718</v>
      </c>
      <c r="I464" s="225"/>
      <c r="O464" s="235">
        <v>44671</v>
      </c>
    </row>
    <row r="465" spans="1:15" ht="60" x14ac:dyDescent="0.2">
      <c r="A465" s="228" t="s">
        <v>854</v>
      </c>
      <c r="B465" s="221">
        <v>14</v>
      </c>
      <c r="C465" s="221" t="s">
        <v>1098</v>
      </c>
      <c r="D465" s="221" t="s">
        <v>1134</v>
      </c>
      <c r="E465" s="221" t="s">
        <v>1135</v>
      </c>
      <c r="F465" s="221" t="s">
        <v>722</v>
      </c>
      <c r="G465" s="221">
        <v>1</v>
      </c>
      <c r="H465" s="221" t="s">
        <v>1136</v>
      </c>
      <c r="I465" s="206" t="s">
        <v>1289</v>
      </c>
      <c r="J465" s="206" t="s">
        <v>1492</v>
      </c>
      <c r="O465" s="235">
        <v>44671</v>
      </c>
    </row>
    <row r="466" spans="1:15" ht="60" x14ac:dyDescent="0.2">
      <c r="A466" s="228" t="s">
        <v>854</v>
      </c>
      <c r="B466" s="221">
        <v>14</v>
      </c>
      <c r="C466" s="221" t="s">
        <v>1098</v>
      </c>
      <c r="D466" s="221" t="s">
        <v>1134</v>
      </c>
      <c r="E466" s="221" t="s">
        <v>1135</v>
      </c>
      <c r="F466" s="221" t="s">
        <v>722</v>
      </c>
      <c r="G466" s="221">
        <v>2</v>
      </c>
      <c r="H466" s="221" t="s">
        <v>1137</v>
      </c>
      <c r="I466" s="206" t="s">
        <v>1289</v>
      </c>
      <c r="J466" s="206" t="s">
        <v>1493</v>
      </c>
      <c r="O466" s="235">
        <v>44671</v>
      </c>
    </row>
    <row r="467" spans="1:15" ht="105" x14ac:dyDescent="0.2">
      <c r="A467" s="228" t="s">
        <v>854</v>
      </c>
      <c r="B467" s="221">
        <v>14</v>
      </c>
      <c r="C467" s="221" t="s">
        <v>1098</v>
      </c>
      <c r="D467" s="221" t="s">
        <v>1134</v>
      </c>
      <c r="E467" s="221" t="s">
        <v>1135</v>
      </c>
      <c r="F467" s="221" t="s">
        <v>722</v>
      </c>
      <c r="G467" s="221">
        <v>3</v>
      </c>
      <c r="H467" s="221" t="s">
        <v>1138</v>
      </c>
      <c r="I467" s="206" t="s">
        <v>1289</v>
      </c>
      <c r="J467" s="206" t="s">
        <v>1494</v>
      </c>
      <c r="O467" s="235">
        <v>44671</v>
      </c>
    </row>
    <row r="468" spans="1:15" ht="90" x14ac:dyDescent="0.2">
      <c r="A468" s="228" t="s">
        <v>854</v>
      </c>
      <c r="B468" s="221">
        <v>14</v>
      </c>
      <c r="C468" s="221" t="s">
        <v>1098</v>
      </c>
      <c r="D468" s="221" t="s">
        <v>1134</v>
      </c>
      <c r="E468" s="221" t="s">
        <v>1135</v>
      </c>
      <c r="F468" s="221" t="s">
        <v>722</v>
      </c>
      <c r="G468" s="221">
        <v>4</v>
      </c>
      <c r="H468" s="221" t="s">
        <v>1139</v>
      </c>
      <c r="I468" s="206" t="s">
        <v>1289</v>
      </c>
      <c r="J468" s="206" t="s">
        <v>1495</v>
      </c>
      <c r="O468" s="235">
        <v>44671</v>
      </c>
    </row>
    <row r="469" spans="1:15" ht="60" x14ac:dyDescent="0.2">
      <c r="A469" s="228" t="s">
        <v>854</v>
      </c>
      <c r="B469" s="221">
        <v>14</v>
      </c>
      <c r="C469" s="221" t="s">
        <v>1098</v>
      </c>
      <c r="D469" s="221" t="s">
        <v>1134</v>
      </c>
      <c r="E469" s="221" t="s">
        <v>1135</v>
      </c>
      <c r="F469" s="221" t="s">
        <v>722</v>
      </c>
      <c r="G469" s="221">
        <v>5</v>
      </c>
      <c r="H469" s="221" t="s">
        <v>1140</v>
      </c>
      <c r="I469" s="206" t="s">
        <v>1289</v>
      </c>
      <c r="J469" s="206" t="s">
        <v>1496</v>
      </c>
      <c r="O469" s="235">
        <v>44671</v>
      </c>
    </row>
    <row r="470" spans="1:15" ht="165" x14ac:dyDescent="0.2">
      <c r="A470" s="228" t="s">
        <v>854</v>
      </c>
      <c r="B470" s="221">
        <v>14</v>
      </c>
      <c r="C470" s="221" t="s">
        <v>1098</v>
      </c>
      <c r="D470" s="221" t="s">
        <v>1134</v>
      </c>
      <c r="E470" s="221" t="s">
        <v>1135</v>
      </c>
      <c r="F470" s="221" t="s">
        <v>722</v>
      </c>
      <c r="G470" s="221">
        <v>6</v>
      </c>
      <c r="H470" s="221" t="s">
        <v>1141</v>
      </c>
      <c r="I470" s="206" t="s">
        <v>1289</v>
      </c>
      <c r="J470" s="206" t="s">
        <v>1497</v>
      </c>
      <c r="O470" s="235">
        <v>44671</v>
      </c>
    </row>
    <row r="471" spans="1:15" ht="75" x14ac:dyDescent="0.2">
      <c r="A471" s="228" t="s">
        <v>854</v>
      </c>
      <c r="B471" s="219">
        <v>14</v>
      </c>
      <c r="C471" s="219" t="s">
        <v>1098</v>
      </c>
      <c r="D471" s="219" t="s">
        <v>1134</v>
      </c>
      <c r="E471" s="219" t="s">
        <v>1135</v>
      </c>
      <c r="F471" s="219" t="s">
        <v>720</v>
      </c>
      <c r="G471" s="219">
        <v>1</v>
      </c>
      <c r="H471" s="219" t="s">
        <v>1142</v>
      </c>
      <c r="I471" s="206" t="s">
        <v>1289</v>
      </c>
      <c r="J471" s="206" t="s">
        <v>1498</v>
      </c>
      <c r="O471" s="235">
        <v>44671</v>
      </c>
    </row>
    <row r="472" spans="1:15" ht="409.5" x14ac:dyDescent="0.2">
      <c r="A472" s="228" t="s">
        <v>854</v>
      </c>
      <c r="B472" s="219">
        <v>14</v>
      </c>
      <c r="C472" s="219" t="s">
        <v>1098</v>
      </c>
      <c r="D472" s="219" t="s">
        <v>1134</v>
      </c>
      <c r="E472" s="219" t="s">
        <v>1135</v>
      </c>
      <c r="F472" s="219" t="s">
        <v>720</v>
      </c>
      <c r="G472" s="219" t="s">
        <v>874</v>
      </c>
      <c r="H472" s="219" t="s">
        <v>1143</v>
      </c>
      <c r="I472" s="206" t="s">
        <v>1300</v>
      </c>
      <c r="J472" s="206" t="s">
        <v>1320</v>
      </c>
      <c r="O472" s="235">
        <v>44671</v>
      </c>
    </row>
    <row r="473" spans="1:15" ht="45.75" thickBot="1" x14ac:dyDescent="0.25">
      <c r="A473" s="228" t="s">
        <v>854</v>
      </c>
      <c r="B473" s="220">
        <v>14</v>
      </c>
      <c r="C473" s="220" t="s">
        <v>1098</v>
      </c>
      <c r="D473" s="220" t="s">
        <v>1134</v>
      </c>
      <c r="E473" s="220" t="s">
        <v>1135</v>
      </c>
      <c r="F473" s="220" t="s">
        <v>718</v>
      </c>
      <c r="G473" s="220">
        <v>1</v>
      </c>
      <c r="H473" s="220" t="s">
        <v>1144</v>
      </c>
      <c r="I473" s="206" t="s">
        <v>1289</v>
      </c>
      <c r="J473" s="206" t="s">
        <v>1499</v>
      </c>
      <c r="O473" s="235">
        <v>44671</v>
      </c>
    </row>
    <row r="474" spans="1:15" ht="30.75" thickBot="1" x14ac:dyDescent="0.25">
      <c r="A474" s="229" t="s">
        <v>854</v>
      </c>
      <c r="B474" s="223">
        <v>14</v>
      </c>
      <c r="C474" s="223" t="s">
        <v>1098</v>
      </c>
      <c r="D474" s="223" t="s">
        <v>1134</v>
      </c>
      <c r="E474" s="223" t="s">
        <v>1135</v>
      </c>
      <c r="F474" s="223">
        <v>5</v>
      </c>
      <c r="G474" s="223" t="s">
        <v>718</v>
      </c>
      <c r="H474" s="223"/>
      <c r="I474" s="225"/>
      <c r="O474" s="235">
        <v>44671</v>
      </c>
    </row>
    <row r="475" spans="1:15" x14ac:dyDescent="0.2">
      <c r="A475" s="228" t="s">
        <v>854</v>
      </c>
      <c r="B475" s="221">
        <v>14</v>
      </c>
      <c r="C475" s="221" t="s">
        <v>1098</v>
      </c>
      <c r="D475" s="221" t="s">
        <v>1145</v>
      </c>
      <c r="E475" s="221" t="s">
        <v>1146</v>
      </c>
      <c r="F475" s="221" t="s">
        <v>722</v>
      </c>
      <c r="G475" s="221" t="s">
        <v>811</v>
      </c>
      <c r="H475" s="221"/>
      <c r="I475" s="206" t="s">
        <v>1300</v>
      </c>
      <c r="O475" s="235">
        <v>44671</v>
      </c>
    </row>
    <row r="476" spans="1:15" ht="45" x14ac:dyDescent="0.2">
      <c r="A476" s="228" t="s">
        <v>854</v>
      </c>
      <c r="B476" s="219">
        <v>14</v>
      </c>
      <c r="C476" s="219" t="s">
        <v>1098</v>
      </c>
      <c r="D476" s="219" t="s">
        <v>1145</v>
      </c>
      <c r="E476" s="219" t="s">
        <v>1146</v>
      </c>
      <c r="F476" s="219" t="s">
        <v>720</v>
      </c>
      <c r="G476" s="219">
        <v>1</v>
      </c>
      <c r="H476" s="219" t="s">
        <v>1147</v>
      </c>
      <c r="I476" s="206" t="s">
        <v>1289</v>
      </c>
      <c r="J476" s="206" t="s">
        <v>1500</v>
      </c>
      <c r="O476" s="235">
        <v>44671</v>
      </c>
    </row>
    <row r="477" spans="1:15" ht="30" x14ac:dyDescent="0.2">
      <c r="A477" s="228" t="s">
        <v>854</v>
      </c>
      <c r="B477" s="219">
        <v>14</v>
      </c>
      <c r="C477" s="219" t="s">
        <v>1098</v>
      </c>
      <c r="D477" s="219" t="s">
        <v>1145</v>
      </c>
      <c r="E477" s="219" t="s">
        <v>1146</v>
      </c>
      <c r="F477" s="219" t="s">
        <v>720</v>
      </c>
      <c r="G477" s="219">
        <v>2</v>
      </c>
      <c r="H477" s="219" t="s">
        <v>1148</v>
      </c>
      <c r="I477" s="206" t="s">
        <v>1289</v>
      </c>
      <c r="J477" s="206" t="s">
        <v>1501</v>
      </c>
      <c r="O477" s="235">
        <v>44671</v>
      </c>
    </row>
    <row r="478" spans="1:15" ht="60" x14ac:dyDescent="0.2">
      <c r="A478" s="228" t="s">
        <v>854</v>
      </c>
      <c r="B478" s="219">
        <v>14</v>
      </c>
      <c r="C478" s="219" t="s">
        <v>1098</v>
      </c>
      <c r="D478" s="219" t="s">
        <v>1145</v>
      </c>
      <c r="E478" s="219" t="s">
        <v>1146</v>
      </c>
      <c r="F478" s="219" t="s">
        <v>720</v>
      </c>
      <c r="G478" s="219">
        <v>3</v>
      </c>
      <c r="H478" s="219" t="s">
        <v>1149</v>
      </c>
      <c r="I478" s="206" t="s">
        <v>1289</v>
      </c>
      <c r="J478" s="206" t="s">
        <v>1502</v>
      </c>
      <c r="O478" s="235">
        <v>44671</v>
      </c>
    </row>
    <row r="479" spans="1:15" ht="30.75" thickBot="1" x14ac:dyDescent="0.25">
      <c r="A479" s="228" t="s">
        <v>854</v>
      </c>
      <c r="B479" s="220">
        <v>14</v>
      </c>
      <c r="C479" s="220" t="s">
        <v>1098</v>
      </c>
      <c r="D479" s="220" t="s">
        <v>1145</v>
      </c>
      <c r="E479" s="220" t="s">
        <v>1146</v>
      </c>
      <c r="F479" s="220" t="s">
        <v>718</v>
      </c>
      <c r="G479" s="220">
        <v>1</v>
      </c>
      <c r="H479" s="220" t="s">
        <v>973</v>
      </c>
      <c r="I479" s="206" t="s">
        <v>1289</v>
      </c>
      <c r="J479" s="206" t="s">
        <v>1503</v>
      </c>
      <c r="O479" s="235">
        <v>44671</v>
      </c>
    </row>
    <row r="480" spans="1:15" ht="23.65" customHeight="1" thickBot="1" x14ac:dyDescent="0.25">
      <c r="A480" s="222" t="s">
        <v>854</v>
      </c>
      <c r="B480" s="223">
        <v>14</v>
      </c>
      <c r="C480" s="223" t="s">
        <v>1098</v>
      </c>
      <c r="D480" s="223" t="s">
        <v>1145</v>
      </c>
      <c r="E480" s="223" t="s">
        <v>1146</v>
      </c>
      <c r="F480" s="223" t="s">
        <v>1282</v>
      </c>
      <c r="G480" s="223">
        <v>5</v>
      </c>
      <c r="H480" s="223" t="s">
        <v>718</v>
      </c>
      <c r="I480" s="225"/>
      <c r="O480" s="235">
        <v>44671</v>
      </c>
    </row>
    <row r="481" spans="1:15" ht="30" x14ac:dyDescent="0.2">
      <c r="A481" s="228" t="s">
        <v>854</v>
      </c>
      <c r="B481" s="221">
        <v>14</v>
      </c>
      <c r="C481" s="221" t="s">
        <v>1098</v>
      </c>
      <c r="D481" s="221" t="s">
        <v>1150</v>
      </c>
      <c r="E481" s="221" t="s">
        <v>1151</v>
      </c>
      <c r="F481" s="221" t="s">
        <v>722</v>
      </c>
      <c r="G481" s="221" t="s">
        <v>811</v>
      </c>
      <c r="H481" s="221"/>
      <c r="I481" s="206" t="s">
        <v>1300</v>
      </c>
      <c r="O481" s="235">
        <v>44671</v>
      </c>
    </row>
    <row r="482" spans="1:15" ht="90" x14ac:dyDescent="0.2">
      <c r="A482" s="228" t="s">
        <v>854</v>
      </c>
      <c r="B482" s="219">
        <v>14</v>
      </c>
      <c r="C482" s="219" t="s">
        <v>1098</v>
      </c>
      <c r="D482" s="219" t="s">
        <v>1150</v>
      </c>
      <c r="E482" s="219" t="s">
        <v>1151</v>
      </c>
      <c r="F482" s="219" t="s">
        <v>720</v>
      </c>
      <c r="G482" s="219">
        <v>1</v>
      </c>
      <c r="H482" s="219" t="s">
        <v>1152</v>
      </c>
      <c r="I482" s="206" t="s">
        <v>1289</v>
      </c>
      <c r="J482" s="206" t="s">
        <v>1504</v>
      </c>
      <c r="O482" s="235">
        <v>44671</v>
      </c>
    </row>
    <row r="483" spans="1:15" ht="30.75" thickBot="1" x14ac:dyDescent="0.25">
      <c r="A483" s="228" t="s">
        <v>854</v>
      </c>
      <c r="B483" s="220">
        <v>14</v>
      </c>
      <c r="C483" s="220" t="s">
        <v>1098</v>
      </c>
      <c r="D483" s="220" t="s">
        <v>1150</v>
      </c>
      <c r="E483" s="220" t="s">
        <v>1151</v>
      </c>
      <c r="F483" s="220" t="s">
        <v>718</v>
      </c>
      <c r="G483" s="220" t="s">
        <v>811</v>
      </c>
      <c r="H483" s="220"/>
      <c r="I483" s="206" t="s">
        <v>1300</v>
      </c>
      <c r="O483" s="235">
        <v>44671</v>
      </c>
    </row>
    <row r="484" spans="1:15" ht="24.4" customHeight="1" thickBot="1" x14ac:dyDescent="0.25">
      <c r="A484" s="222" t="s">
        <v>854</v>
      </c>
      <c r="B484" s="223">
        <v>14</v>
      </c>
      <c r="C484" s="223" t="s">
        <v>1098</v>
      </c>
      <c r="D484" s="223" t="s">
        <v>1150</v>
      </c>
      <c r="E484" s="223" t="s">
        <v>1151</v>
      </c>
      <c r="F484" s="223" t="s">
        <v>1282</v>
      </c>
      <c r="G484" s="223">
        <v>5</v>
      </c>
      <c r="H484" s="223" t="s">
        <v>718</v>
      </c>
      <c r="I484" s="225"/>
      <c r="O484" s="235">
        <v>44671</v>
      </c>
    </row>
    <row r="485" spans="1:15" x14ac:dyDescent="0.2">
      <c r="A485" s="228" t="s">
        <v>854</v>
      </c>
      <c r="B485" s="221">
        <v>14</v>
      </c>
      <c r="C485" s="221" t="s">
        <v>1098</v>
      </c>
      <c r="D485" s="221" t="s">
        <v>1153</v>
      </c>
      <c r="E485" s="221" t="s">
        <v>1154</v>
      </c>
      <c r="F485" s="221" t="s">
        <v>722</v>
      </c>
      <c r="G485" s="221" t="s">
        <v>811</v>
      </c>
      <c r="H485" s="221"/>
      <c r="I485" s="206" t="s">
        <v>1300</v>
      </c>
      <c r="O485" s="235">
        <v>44671</v>
      </c>
    </row>
    <row r="486" spans="1:15" ht="90" x14ac:dyDescent="0.2">
      <c r="A486" s="228" t="s">
        <v>854</v>
      </c>
      <c r="B486" s="219">
        <v>14</v>
      </c>
      <c r="C486" s="219" t="s">
        <v>1098</v>
      </c>
      <c r="D486" s="219" t="s">
        <v>1153</v>
      </c>
      <c r="E486" s="219" t="s">
        <v>1154</v>
      </c>
      <c r="F486" s="219" t="s">
        <v>720</v>
      </c>
      <c r="G486" s="219">
        <v>1</v>
      </c>
      <c r="H486" s="219" t="s">
        <v>1155</v>
      </c>
      <c r="I486" s="206" t="s">
        <v>737</v>
      </c>
      <c r="J486" s="206" t="s">
        <v>1505</v>
      </c>
      <c r="K486" s="206" t="s">
        <v>1825</v>
      </c>
      <c r="L486" s="206" t="s">
        <v>1826</v>
      </c>
      <c r="O486" s="235">
        <v>44671</v>
      </c>
    </row>
    <row r="487" spans="1:15" ht="90" x14ac:dyDescent="0.2">
      <c r="A487" s="228" t="s">
        <v>854</v>
      </c>
      <c r="B487" s="219">
        <v>14</v>
      </c>
      <c r="C487" s="219" t="s">
        <v>1098</v>
      </c>
      <c r="D487" s="219" t="s">
        <v>1153</v>
      </c>
      <c r="E487" s="219" t="s">
        <v>1154</v>
      </c>
      <c r="F487" s="219" t="s">
        <v>720</v>
      </c>
      <c r="G487" s="219" t="s">
        <v>874</v>
      </c>
      <c r="H487" s="219" t="s">
        <v>1156</v>
      </c>
      <c r="I487" s="206" t="s">
        <v>1300</v>
      </c>
      <c r="J487" s="206" t="s">
        <v>1320</v>
      </c>
      <c r="O487" s="235">
        <v>44671</v>
      </c>
    </row>
    <row r="488" spans="1:15" ht="225" x14ac:dyDescent="0.2">
      <c r="A488" s="228" t="s">
        <v>854</v>
      </c>
      <c r="B488" s="219">
        <v>14</v>
      </c>
      <c r="C488" s="219" t="s">
        <v>1098</v>
      </c>
      <c r="D488" s="219" t="s">
        <v>1153</v>
      </c>
      <c r="E488" s="219" t="s">
        <v>1154</v>
      </c>
      <c r="F488" s="219" t="s">
        <v>720</v>
      </c>
      <c r="G488" s="219" t="s">
        <v>770</v>
      </c>
      <c r="H488" s="219" t="s">
        <v>1157</v>
      </c>
      <c r="I488" s="206" t="s">
        <v>1300</v>
      </c>
      <c r="O488" s="235">
        <v>44671</v>
      </c>
    </row>
    <row r="489" spans="1:15" ht="15.75" thickBot="1" x14ac:dyDescent="0.25">
      <c r="A489" s="228" t="s">
        <v>854</v>
      </c>
      <c r="B489" s="220">
        <v>14</v>
      </c>
      <c r="C489" s="220" t="s">
        <v>1098</v>
      </c>
      <c r="D489" s="220" t="s">
        <v>1153</v>
      </c>
      <c r="E489" s="220" t="s">
        <v>1154</v>
      </c>
      <c r="F489" s="220" t="s">
        <v>718</v>
      </c>
      <c r="G489" s="220" t="s">
        <v>811</v>
      </c>
      <c r="H489" s="220"/>
      <c r="I489" s="206" t="s">
        <v>1300</v>
      </c>
      <c r="O489" s="235">
        <v>44671</v>
      </c>
    </row>
    <row r="490" spans="1:15" ht="25.15" customHeight="1" thickBot="1" x14ac:dyDescent="0.25">
      <c r="A490" s="222" t="s">
        <v>854</v>
      </c>
      <c r="B490" s="223">
        <v>14</v>
      </c>
      <c r="C490" s="223" t="s">
        <v>1098</v>
      </c>
      <c r="D490" s="223" t="s">
        <v>1153</v>
      </c>
      <c r="E490" s="223" t="s">
        <v>1154</v>
      </c>
      <c r="F490" s="223" t="s">
        <v>1282</v>
      </c>
      <c r="G490" s="223">
        <v>2</v>
      </c>
      <c r="H490" s="223" t="s">
        <v>721</v>
      </c>
      <c r="I490" s="225"/>
      <c r="O490" s="235">
        <v>44671</v>
      </c>
    </row>
    <row r="491" spans="1:15" ht="45" x14ac:dyDescent="0.2">
      <c r="A491" s="228" t="s">
        <v>854</v>
      </c>
      <c r="B491" s="221">
        <v>14</v>
      </c>
      <c r="C491" s="221" t="s">
        <v>1098</v>
      </c>
      <c r="D491" s="221" t="s">
        <v>1158</v>
      </c>
      <c r="E491" s="221" t="s">
        <v>1159</v>
      </c>
      <c r="F491" s="221" t="s">
        <v>722</v>
      </c>
      <c r="G491" s="221">
        <v>1</v>
      </c>
      <c r="H491" s="221" t="s">
        <v>1160</v>
      </c>
      <c r="I491" s="206" t="s">
        <v>1300</v>
      </c>
      <c r="J491" s="206" t="s">
        <v>1839</v>
      </c>
      <c r="O491" s="235">
        <v>44671</v>
      </c>
    </row>
    <row r="492" spans="1:15" ht="37.9" customHeight="1" x14ac:dyDescent="0.2">
      <c r="A492" s="228" t="s">
        <v>854</v>
      </c>
      <c r="B492" s="219">
        <v>14</v>
      </c>
      <c r="C492" s="219" t="s">
        <v>1098</v>
      </c>
      <c r="D492" s="219" t="s">
        <v>1158</v>
      </c>
      <c r="E492" s="219" t="s">
        <v>1159</v>
      </c>
      <c r="F492" s="219" t="s">
        <v>720</v>
      </c>
      <c r="G492" s="219">
        <v>1</v>
      </c>
      <c r="H492" s="219" t="s">
        <v>1161</v>
      </c>
      <c r="I492" s="206" t="s">
        <v>1300</v>
      </c>
      <c r="J492" s="206" t="s">
        <v>1839</v>
      </c>
      <c r="O492" s="235">
        <v>44671</v>
      </c>
    </row>
    <row r="493" spans="1:15" ht="30" x14ac:dyDescent="0.2">
      <c r="A493" s="228" t="s">
        <v>854</v>
      </c>
      <c r="B493" s="219">
        <v>14</v>
      </c>
      <c r="C493" s="219" t="s">
        <v>1098</v>
      </c>
      <c r="D493" s="219" t="s">
        <v>1158</v>
      </c>
      <c r="E493" s="219" t="s">
        <v>1159</v>
      </c>
      <c r="F493" s="219" t="s">
        <v>720</v>
      </c>
      <c r="G493" s="219">
        <v>2</v>
      </c>
      <c r="H493" s="219" t="s">
        <v>1162</v>
      </c>
      <c r="I493" s="206" t="s">
        <v>1289</v>
      </c>
      <c r="J493" s="206" t="s">
        <v>1506</v>
      </c>
      <c r="O493" s="235">
        <v>44671</v>
      </c>
    </row>
    <row r="494" spans="1:15" ht="45.75" thickBot="1" x14ac:dyDescent="0.25">
      <c r="A494" s="228" t="s">
        <v>854</v>
      </c>
      <c r="B494" s="220">
        <v>14</v>
      </c>
      <c r="C494" s="220" t="s">
        <v>1098</v>
      </c>
      <c r="D494" s="220" t="s">
        <v>1158</v>
      </c>
      <c r="E494" s="220" t="s">
        <v>1159</v>
      </c>
      <c r="F494" s="220" t="s">
        <v>718</v>
      </c>
      <c r="G494" s="220">
        <v>1</v>
      </c>
      <c r="H494" s="220" t="s">
        <v>1163</v>
      </c>
      <c r="I494" s="206" t="s">
        <v>1289</v>
      </c>
      <c r="J494" s="206" t="s">
        <v>1507</v>
      </c>
      <c r="O494" s="235">
        <v>44671</v>
      </c>
    </row>
    <row r="495" spans="1:15" ht="28.15" customHeight="1" thickBot="1" x14ac:dyDescent="0.25">
      <c r="A495" s="222" t="s">
        <v>854</v>
      </c>
      <c r="B495" s="223">
        <v>14</v>
      </c>
      <c r="C495" s="223" t="s">
        <v>1098</v>
      </c>
      <c r="D495" s="223" t="s">
        <v>1158</v>
      </c>
      <c r="E495" s="223" t="s">
        <v>1159</v>
      </c>
      <c r="F495" s="223" t="s">
        <v>1282</v>
      </c>
      <c r="G495" s="223">
        <v>5</v>
      </c>
      <c r="H495" s="223" t="s">
        <v>718</v>
      </c>
      <c r="I495" s="225"/>
      <c r="O495" s="235">
        <v>44671</v>
      </c>
    </row>
    <row r="496" spans="1:15" x14ac:dyDescent="0.2">
      <c r="A496" s="230" t="s">
        <v>1164</v>
      </c>
      <c r="B496" s="221">
        <v>15</v>
      </c>
      <c r="C496" s="221" t="s">
        <v>1165</v>
      </c>
      <c r="D496" s="221" t="s">
        <v>1166</v>
      </c>
      <c r="E496" s="221" t="s">
        <v>1167</v>
      </c>
      <c r="F496" s="221" t="s">
        <v>722</v>
      </c>
      <c r="G496" s="221" t="s">
        <v>811</v>
      </c>
      <c r="H496" s="221"/>
      <c r="I496" s="206" t="s">
        <v>1300</v>
      </c>
      <c r="O496" s="235">
        <v>44671</v>
      </c>
    </row>
    <row r="497" spans="1:15" ht="75" x14ac:dyDescent="0.2">
      <c r="A497" s="230" t="s">
        <v>1164</v>
      </c>
      <c r="B497" s="219">
        <v>15</v>
      </c>
      <c r="C497" s="219" t="s">
        <v>1165</v>
      </c>
      <c r="D497" s="219" t="s">
        <v>1166</v>
      </c>
      <c r="E497" s="219" t="s">
        <v>1167</v>
      </c>
      <c r="F497" s="219" t="s">
        <v>720</v>
      </c>
      <c r="G497" s="219">
        <v>1</v>
      </c>
      <c r="H497" s="219" t="s">
        <v>1168</v>
      </c>
      <c r="I497" s="206" t="s">
        <v>737</v>
      </c>
      <c r="J497" s="206" t="s">
        <v>1508</v>
      </c>
      <c r="K497" s="206" t="s">
        <v>1840</v>
      </c>
      <c r="L497" s="206" t="s">
        <v>1818</v>
      </c>
      <c r="O497" s="235">
        <v>44671</v>
      </c>
    </row>
    <row r="498" spans="1:15" ht="135" x14ac:dyDescent="0.2">
      <c r="A498" s="230" t="s">
        <v>1164</v>
      </c>
      <c r="B498" s="219">
        <v>15</v>
      </c>
      <c r="C498" s="219" t="s">
        <v>1165</v>
      </c>
      <c r="D498" s="219" t="s">
        <v>1166</v>
      </c>
      <c r="E498" s="219" t="s">
        <v>1167</v>
      </c>
      <c r="F498" s="219" t="s">
        <v>720</v>
      </c>
      <c r="G498" s="219" t="s">
        <v>770</v>
      </c>
      <c r="H498" s="219" t="s">
        <v>1169</v>
      </c>
      <c r="I498" s="206" t="s">
        <v>1300</v>
      </c>
      <c r="O498" s="235">
        <v>44671</v>
      </c>
    </row>
    <row r="499" spans="1:15" ht="45" x14ac:dyDescent="0.2">
      <c r="A499" s="230" t="s">
        <v>1164</v>
      </c>
      <c r="B499" s="220">
        <v>15</v>
      </c>
      <c r="C499" s="220" t="s">
        <v>1165</v>
      </c>
      <c r="D499" s="220" t="s">
        <v>1166</v>
      </c>
      <c r="E499" s="220" t="s">
        <v>1167</v>
      </c>
      <c r="F499" s="220" t="s">
        <v>718</v>
      </c>
      <c r="G499" s="220">
        <v>1</v>
      </c>
      <c r="H499" s="220" t="s">
        <v>1170</v>
      </c>
      <c r="I499" s="206" t="s">
        <v>1289</v>
      </c>
      <c r="J499" s="206" t="s">
        <v>1841</v>
      </c>
      <c r="O499" s="235">
        <v>44671</v>
      </c>
    </row>
    <row r="500" spans="1:15" ht="45" x14ac:dyDescent="0.2">
      <c r="A500" s="230" t="s">
        <v>1164</v>
      </c>
      <c r="B500" s="220">
        <v>15</v>
      </c>
      <c r="C500" s="220" t="s">
        <v>1165</v>
      </c>
      <c r="D500" s="220" t="s">
        <v>1166</v>
      </c>
      <c r="E500" s="220" t="s">
        <v>1167</v>
      </c>
      <c r="F500" s="220" t="s">
        <v>718</v>
      </c>
      <c r="G500" s="220">
        <v>2</v>
      </c>
      <c r="H500" s="220" t="s">
        <v>1171</v>
      </c>
      <c r="I500" s="206" t="s">
        <v>1289</v>
      </c>
      <c r="J500" s="206" t="s">
        <v>1841</v>
      </c>
      <c r="O500" s="235">
        <v>44671</v>
      </c>
    </row>
    <row r="501" spans="1:15" ht="30" x14ac:dyDescent="0.2">
      <c r="A501" s="230" t="s">
        <v>1164</v>
      </c>
      <c r="B501" s="220">
        <v>15</v>
      </c>
      <c r="C501" s="220" t="s">
        <v>1165</v>
      </c>
      <c r="D501" s="220" t="s">
        <v>1166</v>
      </c>
      <c r="E501" s="220" t="s">
        <v>1167</v>
      </c>
      <c r="F501" s="220" t="s">
        <v>718</v>
      </c>
      <c r="G501" s="220">
        <v>3</v>
      </c>
      <c r="H501" s="220" t="s">
        <v>1172</v>
      </c>
      <c r="I501" s="206" t="s">
        <v>1289</v>
      </c>
      <c r="J501" s="206" t="s">
        <v>1841</v>
      </c>
      <c r="O501" s="235">
        <v>44671</v>
      </c>
    </row>
    <row r="502" spans="1:15" ht="45" x14ac:dyDescent="0.2">
      <c r="A502" s="230" t="s">
        <v>1164</v>
      </c>
      <c r="B502" s="220">
        <v>15</v>
      </c>
      <c r="C502" s="220" t="s">
        <v>1165</v>
      </c>
      <c r="D502" s="220" t="s">
        <v>1166</v>
      </c>
      <c r="E502" s="220" t="s">
        <v>1167</v>
      </c>
      <c r="F502" s="220" t="s">
        <v>718</v>
      </c>
      <c r="G502" s="220">
        <v>4</v>
      </c>
      <c r="H502" s="220" t="s">
        <v>1173</v>
      </c>
      <c r="I502" s="206" t="s">
        <v>1289</v>
      </c>
      <c r="J502" s="206" t="s">
        <v>1841</v>
      </c>
      <c r="O502" s="235">
        <v>44671</v>
      </c>
    </row>
    <row r="503" spans="1:15" ht="105" x14ac:dyDescent="0.2">
      <c r="A503" s="230" t="s">
        <v>1164</v>
      </c>
      <c r="B503" s="220">
        <v>15</v>
      </c>
      <c r="C503" s="220" t="s">
        <v>1165</v>
      </c>
      <c r="D503" s="220" t="s">
        <v>1166</v>
      </c>
      <c r="E503" s="220" t="s">
        <v>1167</v>
      </c>
      <c r="F503" s="220" t="s">
        <v>718</v>
      </c>
      <c r="G503" s="220">
        <v>5</v>
      </c>
      <c r="H503" s="220" t="s">
        <v>1174</v>
      </c>
      <c r="I503" s="206" t="s">
        <v>737</v>
      </c>
      <c r="J503" s="206" t="s">
        <v>1510</v>
      </c>
      <c r="K503" s="206" t="s">
        <v>1840</v>
      </c>
      <c r="L503" s="206" t="s">
        <v>1818</v>
      </c>
      <c r="O503" s="235">
        <v>44671</v>
      </c>
    </row>
    <row r="504" spans="1:15" ht="120" x14ac:dyDescent="0.2">
      <c r="A504" s="230" t="s">
        <v>1164</v>
      </c>
      <c r="B504" s="220">
        <v>15</v>
      </c>
      <c r="C504" s="220" t="s">
        <v>1165</v>
      </c>
      <c r="D504" s="220" t="s">
        <v>1166</v>
      </c>
      <c r="E504" s="220" t="s">
        <v>1167</v>
      </c>
      <c r="F504" s="220" t="s">
        <v>718</v>
      </c>
      <c r="G504" s="220">
        <v>6</v>
      </c>
      <c r="H504" s="220" t="s">
        <v>1175</v>
      </c>
      <c r="I504" s="206" t="s">
        <v>737</v>
      </c>
      <c r="J504" s="206" t="s">
        <v>1510</v>
      </c>
      <c r="K504" s="206" t="s">
        <v>1840</v>
      </c>
      <c r="L504" s="206" t="s">
        <v>1818</v>
      </c>
      <c r="O504" s="235">
        <v>44671</v>
      </c>
    </row>
    <row r="505" spans="1:15" ht="30.75" thickBot="1" x14ac:dyDescent="0.25">
      <c r="A505" s="230" t="s">
        <v>1164</v>
      </c>
      <c r="B505" s="220">
        <v>15</v>
      </c>
      <c r="C505" s="220" t="s">
        <v>1165</v>
      </c>
      <c r="D505" s="220" t="s">
        <v>1166</v>
      </c>
      <c r="E505" s="220" t="s">
        <v>1167</v>
      </c>
      <c r="F505" s="220" t="s">
        <v>718</v>
      </c>
      <c r="G505" s="220">
        <v>7</v>
      </c>
      <c r="H505" s="220" t="s">
        <v>1176</v>
      </c>
      <c r="I505" s="206" t="s">
        <v>737</v>
      </c>
      <c r="J505" s="206" t="s">
        <v>1510</v>
      </c>
      <c r="K505" s="206" t="s">
        <v>1840</v>
      </c>
      <c r="L505" s="206" t="s">
        <v>1818</v>
      </c>
      <c r="O505" s="235">
        <v>44671</v>
      </c>
    </row>
    <row r="506" spans="1:15" ht="28.5" customHeight="1" thickBot="1" x14ac:dyDescent="0.25">
      <c r="A506" s="222" t="s">
        <v>1164</v>
      </c>
      <c r="B506" s="223">
        <v>15</v>
      </c>
      <c r="C506" s="223" t="s">
        <v>1165</v>
      </c>
      <c r="D506" s="223" t="s">
        <v>1166</v>
      </c>
      <c r="E506" s="223" t="s">
        <v>1167</v>
      </c>
      <c r="F506" s="223" t="s">
        <v>1282</v>
      </c>
      <c r="G506" s="223">
        <v>1</v>
      </c>
      <c r="H506" s="223" t="s">
        <v>722</v>
      </c>
      <c r="I506" s="225"/>
      <c r="O506" s="235">
        <v>44671</v>
      </c>
    </row>
    <row r="507" spans="1:15" x14ac:dyDescent="0.2">
      <c r="A507" s="230" t="s">
        <v>1164</v>
      </c>
      <c r="B507" s="221">
        <v>15</v>
      </c>
      <c r="C507" s="221" t="s">
        <v>1165</v>
      </c>
      <c r="D507" s="221" t="s">
        <v>1177</v>
      </c>
      <c r="E507" s="221" t="s">
        <v>1178</v>
      </c>
      <c r="F507" s="221" t="s">
        <v>722</v>
      </c>
      <c r="G507" s="221" t="s">
        <v>811</v>
      </c>
      <c r="H507" s="221"/>
      <c r="I507" s="206" t="s">
        <v>1300</v>
      </c>
      <c r="O507" s="235">
        <v>44671</v>
      </c>
    </row>
    <row r="508" spans="1:15" ht="150" x14ac:dyDescent="0.2">
      <c r="A508" s="230" t="s">
        <v>1164</v>
      </c>
      <c r="B508" s="219">
        <v>15</v>
      </c>
      <c r="C508" s="219" t="s">
        <v>1165</v>
      </c>
      <c r="D508" s="219" t="s">
        <v>1177</v>
      </c>
      <c r="E508" s="219" t="s">
        <v>1178</v>
      </c>
      <c r="F508" s="219" t="s">
        <v>720</v>
      </c>
      <c r="G508" s="219">
        <v>1</v>
      </c>
      <c r="H508" s="219" t="s">
        <v>1179</v>
      </c>
      <c r="I508" s="206" t="s">
        <v>1289</v>
      </c>
      <c r="J508" s="206" t="s">
        <v>1511</v>
      </c>
      <c r="O508" s="235">
        <v>44671</v>
      </c>
    </row>
    <row r="509" spans="1:15" ht="120" x14ac:dyDescent="0.2">
      <c r="A509" s="230" t="s">
        <v>1164</v>
      </c>
      <c r="B509" s="219">
        <v>15</v>
      </c>
      <c r="C509" s="219" t="s">
        <v>1165</v>
      </c>
      <c r="D509" s="219" t="s">
        <v>1177</v>
      </c>
      <c r="E509" s="219" t="s">
        <v>1178</v>
      </c>
      <c r="F509" s="219" t="s">
        <v>720</v>
      </c>
      <c r="G509" s="219">
        <v>2</v>
      </c>
      <c r="H509" s="219" t="s">
        <v>1180</v>
      </c>
      <c r="I509" s="206" t="s">
        <v>1289</v>
      </c>
      <c r="J509" s="206" t="s">
        <v>1512</v>
      </c>
      <c r="O509" s="235">
        <v>44671</v>
      </c>
    </row>
    <row r="510" spans="1:15" ht="58.15" customHeight="1" x14ac:dyDescent="0.2">
      <c r="A510" s="230" t="s">
        <v>1164</v>
      </c>
      <c r="B510" s="219">
        <v>15</v>
      </c>
      <c r="C510" s="219" t="s">
        <v>1165</v>
      </c>
      <c r="D510" s="219" t="s">
        <v>1177</v>
      </c>
      <c r="E510" s="219" t="s">
        <v>1178</v>
      </c>
      <c r="F510" s="219" t="s">
        <v>720</v>
      </c>
      <c r="G510" s="219">
        <v>3</v>
      </c>
      <c r="H510" s="219" t="s">
        <v>1181</v>
      </c>
      <c r="I510" s="206" t="s">
        <v>1289</v>
      </c>
      <c r="J510" s="206" t="s">
        <v>1842</v>
      </c>
      <c r="O510" s="235">
        <v>44671</v>
      </c>
    </row>
    <row r="511" spans="1:15" ht="75" x14ac:dyDescent="0.2">
      <c r="A511" s="230" t="s">
        <v>1164</v>
      </c>
      <c r="B511" s="219">
        <v>15</v>
      </c>
      <c r="C511" s="219" t="s">
        <v>1165</v>
      </c>
      <c r="D511" s="219" t="s">
        <v>1177</v>
      </c>
      <c r="E511" s="219" t="s">
        <v>1178</v>
      </c>
      <c r="F511" s="219" t="s">
        <v>720</v>
      </c>
      <c r="G511" s="219">
        <v>4</v>
      </c>
      <c r="H511" s="219" t="s">
        <v>1182</v>
      </c>
      <c r="I511" s="206" t="s">
        <v>737</v>
      </c>
      <c r="J511" s="206" t="s">
        <v>1513</v>
      </c>
      <c r="K511" s="206" t="s">
        <v>1840</v>
      </c>
      <c r="L511" s="206" t="s">
        <v>1818</v>
      </c>
      <c r="O511" s="235">
        <v>44671</v>
      </c>
    </row>
    <row r="512" spans="1:15" ht="105" x14ac:dyDescent="0.2">
      <c r="A512" s="230" t="s">
        <v>1164</v>
      </c>
      <c r="B512" s="219">
        <v>15</v>
      </c>
      <c r="C512" s="219" t="s">
        <v>1165</v>
      </c>
      <c r="D512" s="219" t="s">
        <v>1177</v>
      </c>
      <c r="E512" s="219" t="s">
        <v>1178</v>
      </c>
      <c r="F512" s="219" t="s">
        <v>720</v>
      </c>
      <c r="G512" s="219">
        <v>5</v>
      </c>
      <c r="H512" s="219" t="s">
        <v>1183</v>
      </c>
      <c r="I512" s="206" t="s">
        <v>737</v>
      </c>
      <c r="J512" s="206" t="s">
        <v>1513</v>
      </c>
      <c r="K512" s="206" t="s">
        <v>1840</v>
      </c>
      <c r="L512" s="206" t="s">
        <v>1818</v>
      </c>
      <c r="O512" s="235">
        <v>44671</v>
      </c>
    </row>
    <row r="513" spans="1:15" ht="105" x14ac:dyDescent="0.2">
      <c r="A513" s="230" t="s">
        <v>1164</v>
      </c>
      <c r="B513" s="219">
        <v>15</v>
      </c>
      <c r="C513" s="219" t="s">
        <v>1165</v>
      </c>
      <c r="D513" s="219" t="s">
        <v>1177</v>
      </c>
      <c r="E513" s="219" t="s">
        <v>1178</v>
      </c>
      <c r="F513" s="219" t="s">
        <v>720</v>
      </c>
      <c r="G513" s="219">
        <v>6</v>
      </c>
      <c r="H513" s="219" t="s">
        <v>1184</v>
      </c>
      <c r="I513" s="206" t="s">
        <v>737</v>
      </c>
      <c r="J513" s="206" t="s">
        <v>1489</v>
      </c>
      <c r="K513" s="206" t="s">
        <v>1840</v>
      </c>
      <c r="L513" s="206" t="s">
        <v>1818</v>
      </c>
      <c r="O513" s="235">
        <v>44671</v>
      </c>
    </row>
    <row r="514" spans="1:15" ht="90" x14ac:dyDescent="0.2">
      <c r="A514" s="230" t="s">
        <v>1164</v>
      </c>
      <c r="B514" s="219">
        <v>15</v>
      </c>
      <c r="C514" s="219" t="s">
        <v>1165</v>
      </c>
      <c r="D514" s="219" t="s">
        <v>1177</v>
      </c>
      <c r="E514" s="219" t="s">
        <v>1178</v>
      </c>
      <c r="F514" s="219" t="s">
        <v>720</v>
      </c>
      <c r="G514" s="219">
        <v>7</v>
      </c>
      <c r="H514" s="219" t="s">
        <v>1185</v>
      </c>
      <c r="I514" s="206" t="s">
        <v>737</v>
      </c>
      <c r="J514" s="206" t="s">
        <v>1514</v>
      </c>
      <c r="K514" s="206" t="s">
        <v>1840</v>
      </c>
      <c r="L514" s="206" t="s">
        <v>1818</v>
      </c>
      <c r="O514" s="235">
        <v>44671</v>
      </c>
    </row>
    <row r="515" spans="1:15" ht="60" x14ac:dyDescent="0.2">
      <c r="A515" s="230" t="s">
        <v>1164</v>
      </c>
      <c r="B515" s="219">
        <v>15</v>
      </c>
      <c r="C515" s="219" t="s">
        <v>1165</v>
      </c>
      <c r="D515" s="219" t="s">
        <v>1177</v>
      </c>
      <c r="E515" s="219" t="s">
        <v>1178</v>
      </c>
      <c r="F515" s="219" t="s">
        <v>720</v>
      </c>
      <c r="G515" s="219">
        <v>8</v>
      </c>
      <c r="H515" s="219" t="s">
        <v>1186</v>
      </c>
      <c r="I515" s="206" t="s">
        <v>737</v>
      </c>
      <c r="J515" s="206" t="s">
        <v>1515</v>
      </c>
      <c r="K515" s="206" t="s">
        <v>1840</v>
      </c>
      <c r="L515" s="206" t="s">
        <v>1818</v>
      </c>
      <c r="O515" s="235">
        <v>44671</v>
      </c>
    </row>
    <row r="516" spans="1:15" ht="225" x14ac:dyDescent="0.2">
      <c r="A516" s="230" t="s">
        <v>1164</v>
      </c>
      <c r="B516" s="219">
        <v>15</v>
      </c>
      <c r="C516" s="219" t="s">
        <v>1165</v>
      </c>
      <c r="D516" s="219" t="s">
        <v>1177</v>
      </c>
      <c r="E516" s="219" t="s">
        <v>1178</v>
      </c>
      <c r="F516" s="219" t="s">
        <v>720</v>
      </c>
      <c r="G516" s="219" t="s">
        <v>770</v>
      </c>
      <c r="H516" s="219" t="s">
        <v>1187</v>
      </c>
      <c r="I516" s="206" t="s">
        <v>1300</v>
      </c>
      <c r="O516" s="235">
        <v>44671</v>
      </c>
    </row>
    <row r="517" spans="1:15" ht="45" x14ac:dyDescent="0.2">
      <c r="A517" s="230" t="s">
        <v>1164</v>
      </c>
      <c r="B517" s="220">
        <v>15</v>
      </c>
      <c r="C517" s="220" t="s">
        <v>1165</v>
      </c>
      <c r="D517" s="220" t="s">
        <v>1177</v>
      </c>
      <c r="E517" s="220" t="s">
        <v>1178</v>
      </c>
      <c r="F517" s="220" t="s">
        <v>718</v>
      </c>
      <c r="G517" s="220">
        <v>1</v>
      </c>
      <c r="H517" s="220" t="s">
        <v>1188</v>
      </c>
      <c r="I517" s="206" t="s">
        <v>1289</v>
      </c>
      <c r="J517" s="206" t="s">
        <v>1843</v>
      </c>
      <c r="O517" s="235">
        <v>44671</v>
      </c>
    </row>
    <row r="518" spans="1:15" ht="45" x14ac:dyDescent="0.2">
      <c r="A518" s="230" t="s">
        <v>1164</v>
      </c>
      <c r="B518" s="220">
        <v>15</v>
      </c>
      <c r="C518" s="220" t="s">
        <v>1165</v>
      </c>
      <c r="D518" s="220" t="s">
        <v>1177</v>
      </c>
      <c r="E518" s="220" t="s">
        <v>1178</v>
      </c>
      <c r="F518" s="220" t="s">
        <v>718</v>
      </c>
      <c r="G518" s="220">
        <v>2</v>
      </c>
      <c r="H518" s="220" t="s">
        <v>1189</v>
      </c>
      <c r="I518" s="206" t="s">
        <v>1289</v>
      </c>
      <c r="J518" s="206" t="s">
        <v>1844</v>
      </c>
      <c r="O518" s="235">
        <v>44671</v>
      </c>
    </row>
    <row r="519" spans="1:15" ht="212.45" customHeight="1" thickBot="1" x14ac:dyDescent="0.25">
      <c r="A519" s="230" t="s">
        <v>1164</v>
      </c>
      <c r="B519" s="220">
        <v>15</v>
      </c>
      <c r="C519" s="220" t="s">
        <v>1165</v>
      </c>
      <c r="D519" s="220" t="s">
        <v>1177</v>
      </c>
      <c r="E519" s="220" t="s">
        <v>1178</v>
      </c>
      <c r="F519" s="220" t="s">
        <v>718</v>
      </c>
      <c r="G519" s="220">
        <v>3</v>
      </c>
      <c r="H519" s="220" t="s">
        <v>1845</v>
      </c>
      <c r="I519" s="206" t="s">
        <v>737</v>
      </c>
      <c r="J519" s="206" t="s">
        <v>1489</v>
      </c>
      <c r="K519" s="206" t="s">
        <v>1840</v>
      </c>
      <c r="L519" s="206" t="s">
        <v>1818</v>
      </c>
      <c r="O519" s="235">
        <v>44671</v>
      </c>
    </row>
    <row r="520" spans="1:15" ht="23.65" customHeight="1" thickBot="1" x14ac:dyDescent="0.25">
      <c r="A520" s="222" t="s">
        <v>1164</v>
      </c>
      <c r="B520" s="223">
        <v>15</v>
      </c>
      <c r="C520" s="223" t="s">
        <v>1165</v>
      </c>
      <c r="D520" s="223" t="s">
        <v>1177</v>
      </c>
      <c r="E520" s="223" t="s">
        <v>1178</v>
      </c>
      <c r="F520" s="223" t="s">
        <v>1282</v>
      </c>
      <c r="G520" s="223">
        <v>1</v>
      </c>
      <c r="H520" s="223" t="s">
        <v>722</v>
      </c>
      <c r="I520" s="225"/>
      <c r="O520" s="235">
        <v>44671</v>
      </c>
    </row>
    <row r="521" spans="1:15" ht="60" x14ac:dyDescent="0.2">
      <c r="A521" s="231" t="s">
        <v>1190</v>
      </c>
      <c r="B521" s="221">
        <v>16</v>
      </c>
      <c r="C521" s="221" t="s">
        <v>463</v>
      </c>
      <c r="D521" s="221" t="s">
        <v>1191</v>
      </c>
      <c r="E521" s="221" t="s">
        <v>1192</v>
      </c>
      <c r="F521" s="221" t="s">
        <v>722</v>
      </c>
      <c r="G521" s="221">
        <v>1</v>
      </c>
      <c r="H521" s="221" t="s">
        <v>1193</v>
      </c>
      <c r="I521" s="206" t="s">
        <v>1289</v>
      </c>
      <c r="J521" s="206" t="s">
        <v>1846</v>
      </c>
      <c r="O521" s="235">
        <v>44671</v>
      </c>
    </row>
    <row r="522" spans="1:15" ht="105" x14ac:dyDescent="0.2">
      <c r="A522" s="231" t="s">
        <v>1190</v>
      </c>
      <c r="B522" s="219">
        <v>16</v>
      </c>
      <c r="C522" s="219" t="s">
        <v>463</v>
      </c>
      <c r="D522" s="219" t="s">
        <v>1191</v>
      </c>
      <c r="E522" s="219" t="s">
        <v>1192</v>
      </c>
      <c r="F522" s="219" t="s">
        <v>720</v>
      </c>
      <c r="G522" s="219">
        <v>1</v>
      </c>
      <c r="H522" s="219" t="s">
        <v>1194</v>
      </c>
      <c r="I522" s="206" t="s">
        <v>1289</v>
      </c>
      <c r="J522" s="206" t="s">
        <v>1846</v>
      </c>
      <c r="O522" s="235">
        <v>44671</v>
      </c>
    </row>
    <row r="523" spans="1:15" ht="45" x14ac:dyDescent="0.2">
      <c r="A523" s="231" t="s">
        <v>1190</v>
      </c>
      <c r="B523" s="219">
        <v>16</v>
      </c>
      <c r="C523" s="219" t="s">
        <v>463</v>
      </c>
      <c r="D523" s="219" t="s">
        <v>1191</v>
      </c>
      <c r="E523" s="219" t="s">
        <v>1192</v>
      </c>
      <c r="F523" s="219" t="s">
        <v>720</v>
      </c>
      <c r="G523" s="219">
        <v>2</v>
      </c>
      <c r="H523" s="219" t="s">
        <v>1195</v>
      </c>
      <c r="I523" s="206" t="s">
        <v>1289</v>
      </c>
      <c r="J523" s="206" t="s">
        <v>1847</v>
      </c>
      <c r="O523" s="235">
        <v>44671</v>
      </c>
    </row>
    <row r="524" spans="1:15" ht="88.15" customHeight="1" x14ac:dyDescent="0.2">
      <c r="A524" s="231" t="s">
        <v>1190</v>
      </c>
      <c r="B524" s="219">
        <v>16</v>
      </c>
      <c r="C524" s="219" t="s">
        <v>463</v>
      </c>
      <c r="D524" s="219" t="s">
        <v>1191</v>
      </c>
      <c r="E524" s="219" t="s">
        <v>1192</v>
      </c>
      <c r="F524" s="219" t="s">
        <v>720</v>
      </c>
      <c r="G524" s="219">
        <v>3</v>
      </c>
      <c r="H524" s="219" t="s">
        <v>1196</v>
      </c>
      <c r="I524" s="206" t="s">
        <v>1289</v>
      </c>
      <c r="J524" s="206" t="s">
        <v>1846</v>
      </c>
      <c r="O524" s="235">
        <v>44671</v>
      </c>
    </row>
    <row r="525" spans="1:15" ht="45" x14ac:dyDescent="0.2">
      <c r="A525" s="231" t="s">
        <v>1190</v>
      </c>
      <c r="B525" s="219">
        <v>16</v>
      </c>
      <c r="C525" s="219" t="s">
        <v>463</v>
      </c>
      <c r="D525" s="219" t="s">
        <v>1191</v>
      </c>
      <c r="E525" s="219" t="s">
        <v>1192</v>
      </c>
      <c r="F525" s="219" t="s">
        <v>720</v>
      </c>
      <c r="G525" s="219">
        <v>4</v>
      </c>
      <c r="H525" s="219" t="s">
        <v>1197</v>
      </c>
      <c r="I525" s="206" t="s">
        <v>1289</v>
      </c>
      <c r="J525" s="206" t="s">
        <v>1846</v>
      </c>
      <c r="O525" s="235">
        <v>44671</v>
      </c>
    </row>
    <row r="526" spans="1:15" ht="45" x14ac:dyDescent="0.2">
      <c r="A526" s="231" t="s">
        <v>1190</v>
      </c>
      <c r="B526" s="219">
        <v>16</v>
      </c>
      <c r="C526" s="219" t="s">
        <v>463</v>
      </c>
      <c r="D526" s="219" t="s">
        <v>1191</v>
      </c>
      <c r="E526" s="219" t="s">
        <v>1192</v>
      </c>
      <c r="F526" s="219" t="s">
        <v>720</v>
      </c>
      <c r="G526" s="219">
        <v>5</v>
      </c>
      <c r="H526" s="219" t="s">
        <v>1198</v>
      </c>
      <c r="I526" s="206" t="s">
        <v>1289</v>
      </c>
      <c r="J526" s="206" t="s">
        <v>1846</v>
      </c>
      <c r="O526" s="235">
        <v>44671</v>
      </c>
    </row>
    <row r="527" spans="1:15" ht="45" x14ac:dyDescent="0.2">
      <c r="A527" s="231" t="s">
        <v>1190</v>
      </c>
      <c r="B527" s="219">
        <v>16</v>
      </c>
      <c r="C527" s="219" t="s">
        <v>463</v>
      </c>
      <c r="D527" s="219" t="s">
        <v>1191</v>
      </c>
      <c r="E527" s="219" t="s">
        <v>1192</v>
      </c>
      <c r="F527" s="219" t="s">
        <v>720</v>
      </c>
      <c r="G527" s="219">
        <v>6</v>
      </c>
      <c r="H527" s="219" t="s">
        <v>1199</v>
      </c>
      <c r="I527" s="206" t="s">
        <v>1289</v>
      </c>
      <c r="J527" s="206" t="s">
        <v>1848</v>
      </c>
      <c r="O527" s="235">
        <v>44671</v>
      </c>
    </row>
    <row r="528" spans="1:15" ht="60" x14ac:dyDescent="0.2">
      <c r="A528" s="231" t="s">
        <v>1190</v>
      </c>
      <c r="B528" s="219">
        <v>16</v>
      </c>
      <c r="C528" s="219" t="s">
        <v>463</v>
      </c>
      <c r="D528" s="219" t="s">
        <v>1191</v>
      </c>
      <c r="E528" s="219" t="s">
        <v>1192</v>
      </c>
      <c r="F528" s="219" t="s">
        <v>720</v>
      </c>
      <c r="G528" s="219">
        <v>7</v>
      </c>
      <c r="H528" s="219" t="s">
        <v>1200</v>
      </c>
      <c r="I528" s="206" t="s">
        <v>737</v>
      </c>
      <c r="J528" s="206" t="s">
        <v>1509</v>
      </c>
      <c r="O528" s="235">
        <v>44671</v>
      </c>
    </row>
    <row r="529" spans="1:15" ht="75" x14ac:dyDescent="0.2">
      <c r="A529" s="231" t="s">
        <v>1190</v>
      </c>
      <c r="B529" s="219">
        <v>16</v>
      </c>
      <c r="C529" s="219" t="s">
        <v>463</v>
      </c>
      <c r="D529" s="219" t="s">
        <v>1191</v>
      </c>
      <c r="E529" s="219" t="s">
        <v>1192</v>
      </c>
      <c r="F529" s="219" t="s">
        <v>720</v>
      </c>
      <c r="G529" s="219">
        <v>8</v>
      </c>
      <c r="H529" s="219" t="s">
        <v>1201</v>
      </c>
      <c r="I529" s="206" t="s">
        <v>1289</v>
      </c>
      <c r="J529" s="206" t="s">
        <v>1848</v>
      </c>
      <c r="O529" s="235">
        <v>44671</v>
      </c>
    </row>
    <row r="530" spans="1:15" ht="45" x14ac:dyDescent="0.2">
      <c r="A530" s="231" t="s">
        <v>1190</v>
      </c>
      <c r="B530" s="219">
        <v>16</v>
      </c>
      <c r="C530" s="219" t="s">
        <v>463</v>
      </c>
      <c r="D530" s="219" t="s">
        <v>1191</v>
      </c>
      <c r="E530" s="219" t="s">
        <v>1192</v>
      </c>
      <c r="F530" s="219" t="s">
        <v>720</v>
      </c>
      <c r="G530" s="219" t="s">
        <v>770</v>
      </c>
      <c r="H530" s="219" t="s">
        <v>1202</v>
      </c>
      <c r="I530" s="206" t="s">
        <v>1300</v>
      </c>
      <c r="O530" s="235">
        <v>44671</v>
      </c>
    </row>
    <row r="531" spans="1:15" ht="75" x14ac:dyDescent="0.2">
      <c r="A531" s="231" t="s">
        <v>1190</v>
      </c>
      <c r="B531" s="220">
        <v>16</v>
      </c>
      <c r="C531" s="220" t="s">
        <v>463</v>
      </c>
      <c r="D531" s="220" t="s">
        <v>1191</v>
      </c>
      <c r="E531" s="220" t="s">
        <v>1192</v>
      </c>
      <c r="F531" s="220" t="s">
        <v>718</v>
      </c>
      <c r="G531" s="220">
        <v>1</v>
      </c>
      <c r="H531" s="220" t="s">
        <v>1203</v>
      </c>
      <c r="I531" s="206" t="s">
        <v>737</v>
      </c>
      <c r="J531" s="206" t="s">
        <v>1509</v>
      </c>
      <c r="K531" s="206" t="s">
        <v>1849</v>
      </c>
      <c r="L531" s="206" t="s">
        <v>1795</v>
      </c>
      <c r="O531" s="235">
        <v>44671</v>
      </c>
    </row>
    <row r="532" spans="1:15" ht="45" x14ac:dyDescent="0.2">
      <c r="A532" s="231" t="s">
        <v>1190</v>
      </c>
      <c r="B532" s="220">
        <v>16</v>
      </c>
      <c r="C532" s="220" t="s">
        <v>463</v>
      </c>
      <c r="D532" s="220" t="s">
        <v>1191</v>
      </c>
      <c r="E532" s="220" t="s">
        <v>1192</v>
      </c>
      <c r="F532" s="220" t="s">
        <v>718</v>
      </c>
      <c r="G532" s="220">
        <v>2</v>
      </c>
      <c r="H532" s="220" t="s">
        <v>1204</v>
      </c>
      <c r="I532" s="206" t="s">
        <v>1289</v>
      </c>
      <c r="J532" s="206" t="s">
        <v>1848</v>
      </c>
      <c r="O532" s="235">
        <v>44671</v>
      </c>
    </row>
    <row r="533" spans="1:15" ht="60.75" thickBot="1" x14ac:dyDescent="0.25">
      <c r="A533" s="231" t="s">
        <v>1190</v>
      </c>
      <c r="B533" s="220">
        <v>16</v>
      </c>
      <c r="C533" s="220" t="s">
        <v>463</v>
      </c>
      <c r="D533" s="220" t="s">
        <v>1191</v>
      </c>
      <c r="E533" s="220" t="s">
        <v>1192</v>
      </c>
      <c r="F533" s="220" t="s">
        <v>718</v>
      </c>
      <c r="G533" s="220">
        <v>3</v>
      </c>
      <c r="H533" s="220" t="s">
        <v>1205</v>
      </c>
      <c r="I533" s="206" t="s">
        <v>1289</v>
      </c>
      <c r="J533" s="206" t="s">
        <v>1848</v>
      </c>
      <c r="O533" s="235">
        <v>44671</v>
      </c>
    </row>
    <row r="534" spans="1:15" ht="41.65" customHeight="1" thickBot="1" x14ac:dyDescent="0.25">
      <c r="A534" s="222" t="s">
        <v>1190</v>
      </c>
      <c r="B534" s="223">
        <v>16</v>
      </c>
      <c r="C534" s="223" t="s">
        <v>463</v>
      </c>
      <c r="D534" s="223" t="s">
        <v>1191</v>
      </c>
      <c r="E534" s="223" t="s">
        <v>1192</v>
      </c>
      <c r="F534" s="223" t="s">
        <v>1282</v>
      </c>
      <c r="G534" s="223">
        <v>3</v>
      </c>
      <c r="H534" s="223" t="s">
        <v>721</v>
      </c>
      <c r="I534" s="225"/>
      <c r="O534" s="235">
        <v>44671</v>
      </c>
    </row>
    <row r="535" spans="1:15" ht="60" x14ac:dyDescent="0.2">
      <c r="A535" s="231" t="s">
        <v>1190</v>
      </c>
      <c r="B535" s="221">
        <v>16</v>
      </c>
      <c r="C535" s="221" t="s">
        <v>463</v>
      </c>
      <c r="D535" s="221" t="s">
        <v>1206</v>
      </c>
      <c r="E535" s="221" t="s">
        <v>1207</v>
      </c>
      <c r="F535" s="221" t="s">
        <v>722</v>
      </c>
      <c r="G535" s="221">
        <v>1</v>
      </c>
      <c r="H535" s="221" t="s">
        <v>1193</v>
      </c>
      <c r="I535" s="206" t="s">
        <v>1289</v>
      </c>
      <c r="J535" s="206" t="s">
        <v>1848</v>
      </c>
      <c r="O535" s="235">
        <v>44671</v>
      </c>
    </row>
    <row r="536" spans="1:15" ht="105" x14ac:dyDescent="0.2">
      <c r="A536" s="231" t="s">
        <v>1190</v>
      </c>
      <c r="B536" s="219">
        <v>16</v>
      </c>
      <c r="C536" s="219" t="s">
        <v>463</v>
      </c>
      <c r="D536" s="219" t="s">
        <v>1206</v>
      </c>
      <c r="E536" s="219" t="s">
        <v>1207</v>
      </c>
      <c r="F536" s="219" t="s">
        <v>720</v>
      </c>
      <c r="G536" s="219">
        <v>1</v>
      </c>
      <c r="H536" s="219" t="s">
        <v>1208</v>
      </c>
      <c r="I536" s="206" t="s">
        <v>1289</v>
      </c>
      <c r="J536" s="206" t="s">
        <v>1848</v>
      </c>
      <c r="O536" s="235">
        <v>44671</v>
      </c>
    </row>
    <row r="537" spans="1:15" ht="105" x14ac:dyDescent="0.2">
      <c r="A537" s="231" t="s">
        <v>1190</v>
      </c>
      <c r="B537" s="219">
        <v>16</v>
      </c>
      <c r="C537" s="219" t="s">
        <v>463</v>
      </c>
      <c r="D537" s="219" t="s">
        <v>1206</v>
      </c>
      <c r="E537" s="219" t="s">
        <v>1207</v>
      </c>
      <c r="F537" s="219" t="s">
        <v>720</v>
      </c>
      <c r="G537" s="219">
        <v>2</v>
      </c>
      <c r="H537" s="219" t="s">
        <v>1209</v>
      </c>
      <c r="I537" s="206" t="s">
        <v>1289</v>
      </c>
      <c r="J537" s="206" t="s">
        <v>1848</v>
      </c>
      <c r="O537" s="235">
        <v>44671</v>
      </c>
    </row>
    <row r="538" spans="1:15" ht="43.5" customHeight="1" x14ac:dyDescent="0.2">
      <c r="A538" s="231" t="s">
        <v>1190</v>
      </c>
      <c r="B538" s="219">
        <v>16</v>
      </c>
      <c r="C538" s="219" t="s">
        <v>463</v>
      </c>
      <c r="D538" s="219" t="s">
        <v>1206</v>
      </c>
      <c r="E538" s="219" t="s">
        <v>1207</v>
      </c>
      <c r="F538" s="219" t="s">
        <v>720</v>
      </c>
      <c r="G538" s="219">
        <v>3</v>
      </c>
      <c r="H538" s="219" t="s">
        <v>1210</v>
      </c>
      <c r="I538" s="206" t="s">
        <v>1289</v>
      </c>
      <c r="J538" s="206" t="s">
        <v>1516</v>
      </c>
      <c r="O538" s="235">
        <v>44671</v>
      </c>
    </row>
    <row r="539" spans="1:15" ht="165" x14ac:dyDescent="0.2">
      <c r="A539" s="231" t="s">
        <v>1190</v>
      </c>
      <c r="B539" s="219">
        <v>16</v>
      </c>
      <c r="C539" s="219" t="s">
        <v>463</v>
      </c>
      <c r="D539" s="219" t="s">
        <v>1206</v>
      </c>
      <c r="E539" s="219" t="s">
        <v>1207</v>
      </c>
      <c r="F539" s="219" t="s">
        <v>720</v>
      </c>
      <c r="G539" s="219">
        <v>4</v>
      </c>
      <c r="H539" s="219" t="s">
        <v>1211</v>
      </c>
      <c r="I539" s="206" t="s">
        <v>1289</v>
      </c>
      <c r="J539" s="206" t="s">
        <v>1848</v>
      </c>
      <c r="K539" s="206" t="s">
        <v>1850</v>
      </c>
      <c r="L539" s="206" t="s">
        <v>1818</v>
      </c>
      <c r="O539" s="235">
        <v>44671</v>
      </c>
    </row>
    <row r="540" spans="1:15" ht="45.75" thickBot="1" x14ac:dyDescent="0.25">
      <c r="A540" s="231" t="s">
        <v>1190</v>
      </c>
      <c r="B540" s="220">
        <v>16</v>
      </c>
      <c r="C540" s="220" t="s">
        <v>463</v>
      </c>
      <c r="D540" s="220" t="s">
        <v>1206</v>
      </c>
      <c r="E540" s="220" t="s">
        <v>1207</v>
      </c>
      <c r="F540" s="220" t="s">
        <v>718</v>
      </c>
      <c r="G540" s="220" t="s">
        <v>811</v>
      </c>
      <c r="H540" s="220"/>
      <c r="I540" s="206" t="s">
        <v>1300</v>
      </c>
      <c r="O540" s="235">
        <v>44671</v>
      </c>
    </row>
    <row r="541" spans="1:15" ht="45.75" thickBot="1" x14ac:dyDescent="0.25">
      <c r="A541" s="222" t="s">
        <v>1190</v>
      </c>
      <c r="B541" s="223">
        <v>16</v>
      </c>
      <c r="C541" s="223" t="s">
        <v>463</v>
      </c>
      <c r="D541" s="223" t="s">
        <v>1206</v>
      </c>
      <c r="E541" s="223" t="s">
        <v>1207</v>
      </c>
      <c r="F541" s="223" t="s">
        <v>1282</v>
      </c>
      <c r="G541" s="223">
        <v>0</v>
      </c>
      <c r="H541" s="223" t="s">
        <v>724</v>
      </c>
      <c r="I541" s="225"/>
      <c r="O541" s="235">
        <v>44671</v>
      </c>
    </row>
    <row r="542" spans="1:15" ht="45" x14ac:dyDescent="0.2">
      <c r="A542" s="231" t="s">
        <v>1190</v>
      </c>
      <c r="B542" s="221">
        <v>16</v>
      </c>
      <c r="C542" s="221" t="s">
        <v>463</v>
      </c>
      <c r="D542" s="221" t="s">
        <v>1212</v>
      </c>
      <c r="E542" s="221" t="s">
        <v>1213</v>
      </c>
      <c r="F542" s="221" t="s">
        <v>722</v>
      </c>
      <c r="G542" s="221" t="s">
        <v>811</v>
      </c>
      <c r="H542" s="221"/>
      <c r="I542" s="206" t="s">
        <v>1300</v>
      </c>
      <c r="O542" s="235">
        <v>44671</v>
      </c>
    </row>
    <row r="543" spans="1:15" ht="45" x14ac:dyDescent="0.2">
      <c r="A543" s="231" t="s">
        <v>1190</v>
      </c>
      <c r="B543" s="219">
        <v>16</v>
      </c>
      <c r="C543" s="219" t="s">
        <v>463</v>
      </c>
      <c r="D543" s="219" t="s">
        <v>1212</v>
      </c>
      <c r="E543" s="219" t="s">
        <v>1213</v>
      </c>
      <c r="F543" s="219" t="s">
        <v>720</v>
      </c>
      <c r="G543" s="219">
        <v>1</v>
      </c>
      <c r="H543" s="219" t="s">
        <v>1214</v>
      </c>
      <c r="I543" s="206" t="s">
        <v>1289</v>
      </c>
      <c r="J543" s="206" t="s">
        <v>1517</v>
      </c>
      <c r="O543" s="235">
        <v>44671</v>
      </c>
    </row>
    <row r="544" spans="1:15" ht="60" x14ac:dyDescent="0.2">
      <c r="A544" s="231" t="s">
        <v>1190</v>
      </c>
      <c r="B544" s="219">
        <v>16</v>
      </c>
      <c r="C544" s="219" t="s">
        <v>463</v>
      </c>
      <c r="D544" s="219" t="s">
        <v>1212</v>
      </c>
      <c r="E544" s="219" t="s">
        <v>1213</v>
      </c>
      <c r="F544" s="219" t="s">
        <v>720</v>
      </c>
      <c r="G544" s="219">
        <v>2</v>
      </c>
      <c r="H544" s="219" t="s">
        <v>1215</v>
      </c>
      <c r="I544" s="206" t="s">
        <v>1289</v>
      </c>
      <c r="J544" s="206" t="s">
        <v>1518</v>
      </c>
      <c r="O544" s="235">
        <v>44671</v>
      </c>
    </row>
    <row r="545" spans="1:15" ht="45" x14ac:dyDescent="0.2">
      <c r="A545" s="231" t="s">
        <v>1190</v>
      </c>
      <c r="B545" s="219">
        <v>16</v>
      </c>
      <c r="C545" s="219" t="s">
        <v>463</v>
      </c>
      <c r="D545" s="219" t="s">
        <v>1212</v>
      </c>
      <c r="E545" s="219" t="s">
        <v>1213</v>
      </c>
      <c r="F545" s="219" t="s">
        <v>720</v>
      </c>
      <c r="G545" s="219">
        <v>3</v>
      </c>
      <c r="H545" s="219" t="s">
        <v>1216</v>
      </c>
      <c r="I545" s="206" t="s">
        <v>1289</v>
      </c>
      <c r="J545" s="206" t="s">
        <v>1519</v>
      </c>
      <c r="O545" s="235">
        <v>44671</v>
      </c>
    </row>
    <row r="546" spans="1:15" ht="45" x14ac:dyDescent="0.2">
      <c r="A546" s="231" t="s">
        <v>1190</v>
      </c>
      <c r="B546" s="219">
        <v>16</v>
      </c>
      <c r="C546" s="219" t="s">
        <v>463</v>
      </c>
      <c r="D546" s="219" t="s">
        <v>1212</v>
      </c>
      <c r="E546" s="219" t="s">
        <v>1213</v>
      </c>
      <c r="F546" s="219" t="s">
        <v>720</v>
      </c>
      <c r="G546" s="219">
        <v>4</v>
      </c>
      <c r="H546" s="219" t="s">
        <v>1217</v>
      </c>
      <c r="I546" s="206" t="s">
        <v>1289</v>
      </c>
      <c r="J546" s="206" t="s">
        <v>1851</v>
      </c>
      <c r="K546" s="206" t="s">
        <v>1852</v>
      </c>
      <c r="L546" s="206" t="s">
        <v>1795</v>
      </c>
      <c r="O546" s="235">
        <v>44671</v>
      </c>
    </row>
    <row r="547" spans="1:15" ht="75" x14ac:dyDescent="0.2">
      <c r="A547" s="231" t="s">
        <v>1190</v>
      </c>
      <c r="B547" s="219">
        <v>16</v>
      </c>
      <c r="C547" s="219" t="s">
        <v>463</v>
      </c>
      <c r="D547" s="219" t="s">
        <v>1212</v>
      </c>
      <c r="E547" s="219" t="s">
        <v>1213</v>
      </c>
      <c r="F547" s="219" t="s">
        <v>720</v>
      </c>
      <c r="G547" s="219">
        <v>5</v>
      </c>
      <c r="H547" s="219" t="s">
        <v>1218</v>
      </c>
      <c r="I547" s="206" t="s">
        <v>1289</v>
      </c>
      <c r="J547" s="206" t="s">
        <v>1520</v>
      </c>
      <c r="O547" s="235">
        <v>44671</v>
      </c>
    </row>
    <row r="548" spans="1:15" ht="45" x14ac:dyDescent="0.2">
      <c r="A548" s="231" t="s">
        <v>1190</v>
      </c>
      <c r="B548" s="219">
        <v>16</v>
      </c>
      <c r="C548" s="219" t="s">
        <v>463</v>
      </c>
      <c r="D548" s="219" t="s">
        <v>1212</v>
      </c>
      <c r="E548" s="219" t="s">
        <v>1213</v>
      </c>
      <c r="F548" s="219" t="s">
        <v>720</v>
      </c>
      <c r="G548" s="219">
        <v>6</v>
      </c>
      <c r="H548" s="219" t="s">
        <v>1219</v>
      </c>
      <c r="I548" s="206" t="s">
        <v>737</v>
      </c>
      <c r="J548" s="206" t="s">
        <v>1521</v>
      </c>
      <c r="O548" s="235">
        <v>44671</v>
      </c>
    </row>
    <row r="549" spans="1:15" ht="45.75" thickBot="1" x14ac:dyDescent="0.25">
      <c r="A549" s="231" t="s">
        <v>1190</v>
      </c>
      <c r="B549" s="220">
        <v>16</v>
      </c>
      <c r="C549" s="220" t="s">
        <v>463</v>
      </c>
      <c r="D549" s="220" t="s">
        <v>1212</v>
      </c>
      <c r="E549" s="220" t="s">
        <v>1213</v>
      </c>
      <c r="F549" s="220" t="s">
        <v>718</v>
      </c>
      <c r="G549" s="220" t="s">
        <v>811</v>
      </c>
      <c r="H549" s="220"/>
      <c r="I549" s="206" t="s">
        <v>1300</v>
      </c>
      <c r="O549" s="235">
        <v>44671</v>
      </c>
    </row>
    <row r="550" spans="1:15" ht="45.75" thickBot="1" x14ac:dyDescent="0.25">
      <c r="A550" s="222" t="s">
        <v>1190</v>
      </c>
      <c r="B550" s="223">
        <v>16</v>
      </c>
      <c r="C550" s="223" t="s">
        <v>463</v>
      </c>
      <c r="D550" s="223" t="s">
        <v>1212</v>
      </c>
      <c r="E550" s="223" t="s">
        <v>1213</v>
      </c>
      <c r="F550" s="223" t="s">
        <v>1282</v>
      </c>
      <c r="G550" s="223">
        <v>2</v>
      </c>
      <c r="H550" s="223" t="s">
        <v>721</v>
      </c>
      <c r="I550" s="225"/>
      <c r="O550" s="235">
        <v>44671</v>
      </c>
    </row>
    <row r="551" spans="1:15" ht="75" x14ac:dyDescent="0.2">
      <c r="A551" s="231" t="s">
        <v>1190</v>
      </c>
      <c r="B551" s="221">
        <v>16</v>
      </c>
      <c r="C551" s="221" t="s">
        <v>463</v>
      </c>
      <c r="D551" s="221" t="s">
        <v>1220</v>
      </c>
      <c r="E551" s="221" t="s">
        <v>1221</v>
      </c>
      <c r="F551" s="221" t="s">
        <v>722</v>
      </c>
      <c r="G551" s="221">
        <v>1</v>
      </c>
      <c r="H551" s="221" t="s">
        <v>1222</v>
      </c>
      <c r="I551" s="206" t="s">
        <v>1289</v>
      </c>
      <c r="J551" s="206" t="s">
        <v>1848</v>
      </c>
      <c r="O551" s="235">
        <v>44671</v>
      </c>
    </row>
    <row r="552" spans="1:15" ht="57.6" customHeight="1" x14ac:dyDescent="0.2">
      <c r="A552" s="231" t="s">
        <v>1190</v>
      </c>
      <c r="B552" s="219">
        <v>16</v>
      </c>
      <c r="C552" s="219" t="s">
        <v>463</v>
      </c>
      <c r="D552" s="219" t="s">
        <v>1220</v>
      </c>
      <c r="E552" s="219" t="s">
        <v>1221</v>
      </c>
      <c r="F552" s="219" t="s">
        <v>720</v>
      </c>
      <c r="G552" s="219">
        <v>1</v>
      </c>
      <c r="H552" s="219" t="s">
        <v>1223</v>
      </c>
      <c r="I552" s="206" t="s">
        <v>1289</v>
      </c>
      <c r="J552" s="206" t="s">
        <v>1848</v>
      </c>
      <c r="O552" s="235">
        <v>44671</v>
      </c>
    </row>
    <row r="553" spans="1:15" ht="118.9" customHeight="1" x14ac:dyDescent="0.2">
      <c r="A553" s="231" t="s">
        <v>1190</v>
      </c>
      <c r="B553" s="219">
        <v>16</v>
      </c>
      <c r="C553" s="219" t="s">
        <v>463</v>
      </c>
      <c r="D553" s="219" t="s">
        <v>1220</v>
      </c>
      <c r="E553" s="219" t="s">
        <v>1221</v>
      </c>
      <c r="F553" s="219" t="s">
        <v>720</v>
      </c>
      <c r="G553" s="219">
        <v>2</v>
      </c>
      <c r="H553" s="219" t="s">
        <v>1224</v>
      </c>
      <c r="I553" s="206" t="s">
        <v>1289</v>
      </c>
      <c r="J553" s="206" t="s">
        <v>1848</v>
      </c>
      <c r="O553" s="235">
        <v>44671</v>
      </c>
    </row>
    <row r="554" spans="1:15" ht="69" customHeight="1" x14ac:dyDescent="0.2">
      <c r="A554" s="231" t="s">
        <v>1190</v>
      </c>
      <c r="B554" s="219">
        <v>16</v>
      </c>
      <c r="C554" s="219" t="s">
        <v>463</v>
      </c>
      <c r="D554" s="219" t="s">
        <v>1220</v>
      </c>
      <c r="E554" s="219" t="s">
        <v>1221</v>
      </c>
      <c r="F554" s="219" t="s">
        <v>720</v>
      </c>
      <c r="G554" s="219">
        <v>3</v>
      </c>
      <c r="H554" s="219" t="s">
        <v>1853</v>
      </c>
      <c r="I554" s="206" t="s">
        <v>1289</v>
      </c>
      <c r="J554" s="206" t="s">
        <v>1848</v>
      </c>
      <c r="O554" s="235">
        <v>44671</v>
      </c>
    </row>
    <row r="555" spans="1:15" ht="60" x14ac:dyDescent="0.2">
      <c r="A555" s="231" t="s">
        <v>1190</v>
      </c>
      <c r="B555" s="219">
        <v>16</v>
      </c>
      <c r="C555" s="219" t="s">
        <v>463</v>
      </c>
      <c r="D555" s="219" t="s">
        <v>1220</v>
      </c>
      <c r="E555" s="219" t="s">
        <v>1221</v>
      </c>
      <c r="F555" s="219" t="s">
        <v>720</v>
      </c>
      <c r="G555" s="219">
        <v>4</v>
      </c>
      <c r="H555" s="219" t="s">
        <v>1225</v>
      </c>
      <c r="I555" s="206" t="s">
        <v>1289</v>
      </c>
      <c r="J555" s="206" t="s">
        <v>1848</v>
      </c>
      <c r="O555" s="235">
        <v>44671</v>
      </c>
    </row>
    <row r="556" spans="1:15" ht="60" x14ac:dyDescent="0.2">
      <c r="A556" s="231" t="s">
        <v>1190</v>
      </c>
      <c r="B556" s="220">
        <v>16</v>
      </c>
      <c r="C556" s="220" t="s">
        <v>463</v>
      </c>
      <c r="D556" s="220" t="s">
        <v>1220</v>
      </c>
      <c r="E556" s="220" t="s">
        <v>1221</v>
      </c>
      <c r="F556" s="220" t="s">
        <v>718</v>
      </c>
      <c r="G556" s="220">
        <v>1</v>
      </c>
      <c r="H556" s="220" t="s">
        <v>1226</v>
      </c>
      <c r="I556" s="206" t="s">
        <v>1289</v>
      </c>
      <c r="J556" s="206" t="s">
        <v>1854</v>
      </c>
      <c r="O556" s="235">
        <v>44671</v>
      </c>
    </row>
    <row r="557" spans="1:15" ht="75" x14ac:dyDescent="0.2">
      <c r="A557" s="231" t="s">
        <v>1190</v>
      </c>
      <c r="B557" s="220">
        <v>16</v>
      </c>
      <c r="C557" s="220" t="s">
        <v>463</v>
      </c>
      <c r="D557" s="220" t="s">
        <v>1220</v>
      </c>
      <c r="E557" s="220" t="s">
        <v>1221</v>
      </c>
      <c r="F557" s="220" t="s">
        <v>718</v>
      </c>
      <c r="G557" s="220">
        <v>2</v>
      </c>
      <c r="H557" s="220" t="s">
        <v>1227</v>
      </c>
      <c r="I557" s="206" t="s">
        <v>1289</v>
      </c>
      <c r="J557" s="206" t="s">
        <v>1854</v>
      </c>
      <c r="O557" s="235">
        <v>44671</v>
      </c>
    </row>
    <row r="558" spans="1:15" ht="60.75" thickBot="1" x14ac:dyDescent="0.25">
      <c r="A558" s="231" t="s">
        <v>1190</v>
      </c>
      <c r="B558" s="220">
        <v>16</v>
      </c>
      <c r="C558" s="220" t="s">
        <v>463</v>
      </c>
      <c r="D558" s="220" t="s">
        <v>1220</v>
      </c>
      <c r="E558" s="220" t="s">
        <v>1221</v>
      </c>
      <c r="F558" s="220" t="s">
        <v>718</v>
      </c>
      <c r="G558" s="220">
        <v>3</v>
      </c>
      <c r="H558" s="220" t="s">
        <v>1228</v>
      </c>
      <c r="I558" s="206" t="s">
        <v>1289</v>
      </c>
      <c r="J558" s="206" t="s">
        <v>1854</v>
      </c>
      <c r="O558" s="235">
        <v>44671</v>
      </c>
    </row>
    <row r="559" spans="1:15" ht="45.75" thickBot="1" x14ac:dyDescent="0.25">
      <c r="A559" s="222" t="s">
        <v>1190</v>
      </c>
      <c r="B559" s="223">
        <v>16</v>
      </c>
      <c r="C559" s="223" t="s">
        <v>463</v>
      </c>
      <c r="D559" s="223" t="s">
        <v>1220</v>
      </c>
      <c r="E559" s="223" t="s">
        <v>1221</v>
      </c>
      <c r="F559" s="223" t="s">
        <v>1282</v>
      </c>
      <c r="G559" s="223">
        <v>5</v>
      </c>
      <c r="H559" s="223" t="s">
        <v>718</v>
      </c>
      <c r="I559" s="225"/>
      <c r="O559" s="235">
        <v>44671</v>
      </c>
    </row>
    <row r="560" spans="1:15" ht="45" x14ac:dyDescent="0.2">
      <c r="A560" s="231" t="s">
        <v>1190</v>
      </c>
      <c r="B560" s="221">
        <v>17</v>
      </c>
      <c r="C560" s="221" t="s">
        <v>482</v>
      </c>
      <c r="D560" s="221" t="s">
        <v>1229</v>
      </c>
      <c r="E560" s="221" t="s">
        <v>1230</v>
      </c>
      <c r="F560" s="221" t="s">
        <v>722</v>
      </c>
      <c r="G560" s="221" t="s">
        <v>811</v>
      </c>
      <c r="H560" s="221"/>
      <c r="I560" s="206" t="s">
        <v>1300</v>
      </c>
      <c r="O560" s="235">
        <v>44671</v>
      </c>
    </row>
    <row r="561" spans="1:15" ht="45" x14ac:dyDescent="0.2">
      <c r="A561" s="231" t="s">
        <v>1190</v>
      </c>
      <c r="B561" s="219">
        <v>17</v>
      </c>
      <c r="C561" s="219" t="s">
        <v>482</v>
      </c>
      <c r="D561" s="219" t="s">
        <v>1229</v>
      </c>
      <c r="E561" s="219" t="s">
        <v>1230</v>
      </c>
      <c r="F561" s="219" t="s">
        <v>720</v>
      </c>
      <c r="G561" s="219">
        <v>1</v>
      </c>
      <c r="H561" s="219" t="s">
        <v>1231</v>
      </c>
      <c r="I561" s="206" t="s">
        <v>1289</v>
      </c>
      <c r="J561" s="206" t="s">
        <v>1522</v>
      </c>
      <c r="O561" s="235">
        <v>44671</v>
      </c>
    </row>
    <row r="562" spans="1:15" ht="82.15" customHeight="1" thickBot="1" x14ac:dyDescent="0.25">
      <c r="A562" s="231" t="s">
        <v>1190</v>
      </c>
      <c r="B562" s="220">
        <v>17</v>
      </c>
      <c r="C562" s="220" t="s">
        <v>482</v>
      </c>
      <c r="D562" s="220" t="s">
        <v>1229</v>
      </c>
      <c r="E562" s="220" t="s">
        <v>1230</v>
      </c>
      <c r="F562" s="220" t="s">
        <v>718</v>
      </c>
      <c r="G562" s="220">
        <v>1</v>
      </c>
      <c r="H562" s="220" t="s">
        <v>1232</v>
      </c>
      <c r="I562" s="206" t="s">
        <v>1289</v>
      </c>
      <c r="J562" s="206" t="s">
        <v>1855</v>
      </c>
      <c r="O562" s="235">
        <v>44671</v>
      </c>
    </row>
    <row r="563" spans="1:15" ht="45.75" thickBot="1" x14ac:dyDescent="0.25">
      <c r="A563" s="222" t="s">
        <v>1190</v>
      </c>
      <c r="B563" s="223">
        <v>17</v>
      </c>
      <c r="C563" s="223" t="s">
        <v>482</v>
      </c>
      <c r="D563" s="223" t="s">
        <v>1229</v>
      </c>
      <c r="E563" s="223" t="s">
        <v>1230</v>
      </c>
      <c r="F563" s="223" t="s">
        <v>1282</v>
      </c>
      <c r="G563" s="223">
        <v>5</v>
      </c>
      <c r="H563" s="223" t="s">
        <v>718</v>
      </c>
      <c r="I563" s="225"/>
      <c r="O563" s="235">
        <v>44671</v>
      </c>
    </row>
    <row r="564" spans="1:15" ht="45" x14ac:dyDescent="0.2">
      <c r="A564" s="231" t="s">
        <v>1190</v>
      </c>
      <c r="B564" s="221">
        <v>17</v>
      </c>
      <c r="C564" s="221" t="s">
        <v>482</v>
      </c>
      <c r="D564" s="221" t="s">
        <v>1233</v>
      </c>
      <c r="E564" s="221" t="s">
        <v>1234</v>
      </c>
      <c r="F564" s="221" t="s">
        <v>722</v>
      </c>
      <c r="G564" s="221" t="s">
        <v>811</v>
      </c>
      <c r="H564" s="221"/>
      <c r="I564" s="206" t="s">
        <v>1300</v>
      </c>
      <c r="O564" s="235">
        <v>44671</v>
      </c>
    </row>
    <row r="565" spans="1:15" ht="45" x14ac:dyDescent="0.2">
      <c r="A565" s="231" t="s">
        <v>1190</v>
      </c>
      <c r="B565" s="219">
        <v>17</v>
      </c>
      <c r="C565" s="219" t="s">
        <v>482</v>
      </c>
      <c r="D565" s="219" t="s">
        <v>1233</v>
      </c>
      <c r="E565" s="219" t="s">
        <v>1234</v>
      </c>
      <c r="F565" s="219" t="s">
        <v>720</v>
      </c>
      <c r="G565" s="219">
        <v>1</v>
      </c>
      <c r="H565" s="219" t="s">
        <v>1235</v>
      </c>
      <c r="I565" s="206" t="s">
        <v>1289</v>
      </c>
      <c r="J565" s="206" t="s">
        <v>1523</v>
      </c>
      <c r="O565" s="235">
        <v>44671</v>
      </c>
    </row>
    <row r="566" spans="1:15" ht="45" x14ac:dyDescent="0.2">
      <c r="A566" s="231" t="s">
        <v>1190</v>
      </c>
      <c r="B566" s="219">
        <v>17</v>
      </c>
      <c r="C566" s="219" t="s">
        <v>482</v>
      </c>
      <c r="D566" s="219" t="s">
        <v>1233</v>
      </c>
      <c r="E566" s="219" t="s">
        <v>1234</v>
      </c>
      <c r="F566" s="219" t="s">
        <v>720</v>
      </c>
      <c r="G566" s="219">
        <v>2</v>
      </c>
      <c r="H566" s="219" t="s">
        <v>1236</v>
      </c>
      <c r="I566" s="206" t="s">
        <v>1289</v>
      </c>
      <c r="J566" s="206" t="s">
        <v>1524</v>
      </c>
      <c r="O566" s="235">
        <v>44671</v>
      </c>
    </row>
    <row r="567" spans="1:15" ht="45" x14ac:dyDescent="0.2">
      <c r="A567" s="231" t="s">
        <v>1190</v>
      </c>
      <c r="B567" s="219">
        <v>17</v>
      </c>
      <c r="C567" s="219" t="s">
        <v>482</v>
      </c>
      <c r="D567" s="219" t="s">
        <v>1233</v>
      </c>
      <c r="E567" s="219" t="s">
        <v>1234</v>
      </c>
      <c r="F567" s="219" t="s">
        <v>720</v>
      </c>
      <c r="G567" s="219">
        <v>3</v>
      </c>
      <c r="H567" s="219" t="s">
        <v>1237</v>
      </c>
      <c r="I567" s="206" t="s">
        <v>1289</v>
      </c>
      <c r="J567" s="206" t="s">
        <v>1525</v>
      </c>
      <c r="O567" s="235">
        <v>44671</v>
      </c>
    </row>
    <row r="568" spans="1:15" ht="60" x14ac:dyDescent="0.2">
      <c r="A568" s="231" t="s">
        <v>1190</v>
      </c>
      <c r="B568" s="220">
        <v>17</v>
      </c>
      <c r="C568" s="220" t="s">
        <v>482</v>
      </c>
      <c r="D568" s="220" t="s">
        <v>1233</v>
      </c>
      <c r="E568" s="220" t="s">
        <v>1234</v>
      </c>
      <c r="F568" s="220" t="s">
        <v>718</v>
      </c>
      <c r="G568" s="220">
        <v>1</v>
      </c>
      <c r="H568" s="220" t="s">
        <v>1238</v>
      </c>
      <c r="I568" s="206" t="s">
        <v>1289</v>
      </c>
      <c r="J568" s="206" t="s">
        <v>1526</v>
      </c>
      <c r="O568" s="235">
        <v>44671</v>
      </c>
    </row>
    <row r="569" spans="1:15" ht="45" x14ac:dyDescent="0.2">
      <c r="A569" s="231" t="s">
        <v>1190</v>
      </c>
      <c r="B569" s="220">
        <v>17</v>
      </c>
      <c r="C569" s="220" t="s">
        <v>482</v>
      </c>
      <c r="D569" s="220" t="s">
        <v>1233</v>
      </c>
      <c r="E569" s="220" t="s">
        <v>1234</v>
      </c>
      <c r="F569" s="220" t="s">
        <v>718</v>
      </c>
      <c r="G569" s="220">
        <v>2</v>
      </c>
      <c r="H569" s="220" t="s">
        <v>1239</v>
      </c>
      <c r="I569" s="206" t="s">
        <v>1289</v>
      </c>
      <c r="J569" s="206" t="s">
        <v>1527</v>
      </c>
      <c r="O569" s="235">
        <v>44671</v>
      </c>
    </row>
    <row r="570" spans="1:15" ht="60.75" thickBot="1" x14ac:dyDescent="0.25">
      <c r="A570" s="231" t="s">
        <v>1190</v>
      </c>
      <c r="B570" s="220">
        <v>17</v>
      </c>
      <c r="C570" s="220" t="s">
        <v>482</v>
      </c>
      <c r="D570" s="220" t="s">
        <v>1233</v>
      </c>
      <c r="E570" s="220" t="s">
        <v>1234</v>
      </c>
      <c r="F570" s="220" t="s">
        <v>718</v>
      </c>
      <c r="G570" s="220">
        <v>3</v>
      </c>
      <c r="H570" s="220" t="s">
        <v>1240</v>
      </c>
      <c r="I570" s="206" t="s">
        <v>1289</v>
      </c>
      <c r="J570" s="206" t="s">
        <v>1528</v>
      </c>
      <c r="O570" s="235">
        <v>44671</v>
      </c>
    </row>
    <row r="571" spans="1:15" ht="45.75" thickBot="1" x14ac:dyDescent="0.25">
      <c r="A571" s="222" t="s">
        <v>1190</v>
      </c>
      <c r="B571" s="223">
        <v>17</v>
      </c>
      <c r="C571" s="223" t="s">
        <v>482</v>
      </c>
      <c r="D571" s="223" t="s">
        <v>1233</v>
      </c>
      <c r="E571" s="223" t="s">
        <v>1234</v>
      </c>
      <c r="F571" s="223" t="s">
        <v>1282</v>
      </c>
      <c r="G571" s="223">
        <v>5</v>
      </c>
      <c r="H571" s="223" t="s">
        <v>718</v>
      </c>
      <c r="I571" s="225"/>
      <c r="O571" s="235">
        <v>44671</v>
      </c>
    </row>
    <row r="572" spans="1:15" ht="45" x14ac:dyDescent="0.2">
      <c r="A572" s="231" t="s">
        <v>1190</v>
      </c>
      <c r="B572" s="221">
        <v>17</v>
      </c>
      <c r="C572" s="221" t="s">
        <v>482</v>
      </c>
      <c r="D572" s="221" t="s">
        <v>1241</v>
      </c>
      <c r="E572" s="221" t="s">
        <v>1242</v>
      </c>
      <c r="F572" s="221" t="s">
        <v>722</v>
      </c>
      <c r="G572" s="221" t="s">
        <v>811</v>
      </c>
      <c r="H572" s="221"/>
      <c r="I572" s="206" t="s">
        <v>1300</v>
      </c>
      <c r="O572" s="235">
        <v>44671</v>
      </c>
    </row>
    <row r="573" spans="1:15" ht="90" x14ac:dyDescent="0.2">
      <c r="A573" s="231" t="s">
        <v>1190</v>
      </c>
      <c r="B573" s="219">
        <v>17</v>
      </c>
      <c r="C573" s="219" t="s">
        <v>482</v>
      </c>
      <c r="D573" s="219" t="s">
        <v>1241</v>
      </c>
      <c r="E573" s="219" t="s">
        <v>1242</v>
      </c>
      <c r="F573" s="219" t="s">
        <v>720</v>
      </c>
      <c r="G573" s="219">
        <v>1</v>
      </c>
      <c r="H573" s="219" t="s">
        <v>1243</v>
      </c>
      <c r="I573" s="206" t="s">
        <v>1289</v>
      </c>
      <c r="J573" s="206" t="s">
        <v>1529</v>
      </c>
      <c r="O573" s="235">
        <v>44671</v>
      </c>
    </row>
    <row r="574" spans="1:15" ht="45" x14ac:dyDescent="0.2">
      <c r="A574" s="231" t="s">
        <v>1190</v>
      </c>
      <c r="B574" s="219">
        <v>17</v>
      </c>
      <c r="C574" s="219" t="s">
        <v>482</v>
      </c>
      <c r="D574" s="219" t="s">
        <v>1241</v>
      </c>
      <c r="E574" s="219" t="s">
        <v>1242</v>
      </c>
      <c r="F574" s="219" t="s">
        <v>720</v>
      </c>
      <c r="G574" s="219">
        <v>2</v>
      </c>
      <c r="H574" s="219" t="s">
        <v>1244</v>
      </c>
      <c r="I574" s="206" t="s">
        <v>1289</v>
      </c>
      <c r="J574" s="206" t="s">
        <v>1530</v>
      </c>
      <c r="O574" s="235">
        <v>44671</v>
      </c>
    </row>
    <row r="575" spans="1:15" ht="45" x14ac:dyDescent="0.2">
      <c r="A575" s="231" t="s">
        <v>1190</v>
      </c>
      <c r="B575" s="220">
        <v>17</v>
      </c>
      <c r="C575" s="220" t="s">
        <v>482</v>
      </c>
      <c r="D575" s="220" t="s">
        <v>1241</v>
      </c>
      <c r="E575" s="220" t="s">
        <v>1242</v>
      </c>
      <c r="F575" s="220" t="s">
        <v>718</v>
      </c>
      <c r="G575" s="220">
        <v>1</v>
      </c>
      <c r="H575" s="220" t="s">
        <v>1245</v>
      </c>
      <c r="I575" s="206" t="s">
        <v>737</v>
      </c>
      <c r="J575" s="206" t="s">
        <v>1531</v>
      </c>
      <c r="K575" s="206" t="s">
        <v>1815</v>
      </c>
      <c r="L575" s="206" t="s">
        <v>1795</v>
      </c>
      <c r="O575" s="235">
        <v>44671</v>
      </c>
    </row>
    <row r="576" spans="1:15" ht="45" x14ac:dyDescent="0.2">
      <c r="A576" s="231" t="s">
        <v>1190</v>
      </c>
      <c r="B576" s="220">
        <v>17</v>
      </c>
      <c r="C576" s="220" t="s">
        <v>482</v>
      </c>
      <c r="D576" s="220" t="s">
        <v>1241</v>
      </c>
      <c r="E576" s="220" t="s">
        <v>1242</v>
      </c>
      <c r="F576" s="220" t="s">
        <v>718</v>
      </c>
      <c r="G576" s="220">
        <v>2</v>
      </c>
      <c r="H576" s="220" t="s">
        <v>1246</v>
      </c>
      <c r="I576" s="206" t="s">
        <v>1289</v>
      </c>
      <c r="J576" s="206" t="s">
        <v>1532</v>
      </c>
      <c r="O576" s="235">
        <v>44671</v>
      </c>
    </row>
    <row r="577" spans="1:15" ht="60" x14ac:dyDescent="0.2">
      <c r="A577" s="231" t="s">
        <v>1190</v>
      </c>
      <c r="B577" s="220">
        <v>17</v>
      </c>
      <c r="C577" s="220" t="s">
        <v>482</v>
      </c>
      <c r="D577" s="220" t="s">
        <v>1241</v>
      </c>
      <c r="E577" s="220" t="s">
        <v>1242</v>
      </c>
      <c r="F577" s="220" t="s">
        <v>718</v>
      </c>
      <c r="G577" s="220">
        <v>3</v>
      </c>
      <c r="H577" s="220" t="s">
        <v>1247</v>
      </c>
      <c r="I577" s="206" t="s">
        <v>737</v>
      </c>
      <c r="J577" s="206" t="s">
        <v>1533</v>
      </c>
      <c r="K577" s="206" t="s">
        <v>1815</v>
      </c>
      <c r="L577" s="206" t="s">
        <v>1795</v>
      </c>
      <c r="O577" s="235">
        <v>44671</v>
      </c>
    </row>
    <row r="578" spans="1:15" ht="105" x14ac:dyDescent="0.2">
      <c r="A578" s="231" t="s">
        <v>1190</v>
      </c>
      <c r="B578" s="220">
        <v>17</v>
      </c>
      <c r="C578" s="220" t="s">
        <v>482</v>
      </c>
      <c r="D578" s="220" t="s">
        <v>1241</v>
      </c>
      <c r="E578" s="220" t="s">
        <v>1242</v>
      </c>
      <c r="F578" s="220" t="s">
        <v>718</v>
      </c>
      <c r="G578" s="220">
        <v>4</v>
      </c>
      <c r="H578" s="220" t="s">
        <v>1248</v>
      </c>
      <c r="I578" s="206" t="s">
        <v>737</v>
      </c>
      <c r="J578" s="206" t="s">
        <v>1534</v>
      </c>
      <c r="K578" s="206" t="s">
        <v>1815</v>
      </c>
      <c r="L578" s="206" t="s">
        <v>1795</v>
      </c>
      <c r="O578" s="235">
        <v>44671</v>
      </c>
    </row>
    <row r="579" spans="1:15" ht="75" x14ac:dyDescent="0.2">
      <c r="A579" s="231" t="s">
        <v>1190</v>
      </c>
      <c r="B579" s="220">
        <v>17</v>
      </c>
      <c r="C579" s="220" t="s">
        <v>482</v>
      </c>
      <c r="D579" s="220" t="s">
        <v>1241</v>
      </c>
      <c r="E579" s="220" t="s">
        <v>1242</v>
      </c>
      <c r="F579" s="220" t="s">
        <v>718</v>
      </c>
      <c r="G579" s="220">
        <v>5</v>
      </c>
      <c r="H579" s="220" t="s">
        <v>1249</v>
      </c>
      <c r="I579" s="206" t="s">
        <v>737</v>
      </c>
      <c r="J579" s="206" t="s">
        <v>1535</v>
      </c>
      <c r="K579" s="206" t="s">
        <v>1815</v>
      </c>
      <c r="L579" s="206" t="s">
        <v>1795</v>
      </c>
      <c r="O579" s="235">
        <v>44671</v>
      </c>
    </row>
    <row r="580" spans="1:15" ht="105.75" thickBot="1" x14ac:dyDescent="0.25">
      <c r="A580" s="231" t="s">
        <v>1190</v>
      </c>
      <c r="B580" s="220">
        <v>17</v>
      </c>
      <c r="C580" s="220" t="s">
        <v>482</v>
      </c>
      <c r="D580" s="220" t="s">
        <v>1241</v>
      </c>
      <c r="E580" s="220" t="s">
        <v>1242</v>
      </c>
      <c r="F580" s="220" t="s">
        <v>718</v>
      </c>
      <c r="G580" s="220">
        <v>6</v>
      </c>
      <c r="H580" s="220" t="s">
        <v>1250</v>
      </c>
      <c r="I580" s="206" t="s">
        <v>737</v>
      </c>
      <c r="J580" s="206" t="s">
        <v>1529</v>
      </c>
      <c r="K580" s="206" t="s">
        <v>1815</v>
      </c>
      <c r="L580" s="206" t="s">
        <v>1795</v>
      </c>
      <c r="O580" s="235">
        <v>44671</v>
      </c>
    </row>
    <row r="581" spans="1:15" ht="45.75" thickBot="1" x14ac:dyDescent="0.25">
      <c r="A581" s="222" t="s">
        <v>1190</v>
      </c>
      <c r="B581" s="223">
        <v>17</v>
      </c>
      <c r="C581" s="223" t="s">
        <v>482</v>
      </c>
      <c r="D581" s="223" t="s">
        <v>1241</v>
      </c>
      <c r="E581" s="223" t="s">
        <v>1242</v>
      </c>
      <c r="F581" s="223" t="s">
        <v>1282</v>
      </c>
      <c r="G581" s="223">
        <v>3</v>
      </c>
      <c r="H581" s="223" t="s">
        <v>720</v>
      </c>
      <c r="I581" s="225"/>
      <c r="O581" s="235">
        <v>44671</v>
      </c>
    </row>
    <row r="582" spans="1:15" ht="45" x14ac:dyDescent="0.2">
      <c r="A582" s="231" t="s">
        <v>1190</v>
      </c>
      <c r="B582" s="221">
        <v>17</v>
      </c>
      <c r="C582" s="221" t="s">
        <v>482</v>
      </c>
      <c r="D582" s="221" t="s">
        <v>1251</v>
      </c>
      <c r="E582" s="221" t="s">
        <v>1252</v>
      </c>
      <c r="F582" s="221" t="s">
        <v>722</v>
      </c>
      <c r="G582" s="221" t="s">
        <v>811</v>
      </c>
      <c r="H582" s="221"/>
      <c r="I582" s="206" t="s">
        <v>1300</v>
      </c>
      <c r="O582" s="235">
        <v>44671</v>
      </c>
    </row>
    <row r="583" spans="1:15" ht="75" x14ac:dyDescent="0.2">
      <c r="A583" s="231" t="s">
        <v>1190</v>
      </c>
      <c r="B583" s="219">
        <v>17</v>
      </c>
      <c r="C583" s="219" t="s">
        <v>482</v>
      </c>
      <c r="D583" s="219" t="s">
        <v>1251</v>
      </c>
      <c r="E583" s="219" t="s">
        <v>1252</v>
      </c>
      <c r="F583" s="219" t="s">
        <v>720</v>
      </c>
      <c r="G583" s="219">
        <v>1</v>
      </c>
      <c r="H583" s="219" t="s">
        <v>1253</v>
      </c>
      <c r="I583" s="206" t="s">
        <v>1289</v>
      </c>
      <c r="J583" s="206" t="s">
        <v>1536</v>
      </c>
      <c r="O583" s="235">
        <v>44671</v>
      </c>
    </row>
    <row r="584" spans="1:15" ht="45" x14ac:dyDescent="0.2">
      <c r="A584" s="231" t="s">
        <v>1190</v>
      </c>
      <c r="B584" s="219">
        <v>17</v>
      </c>
      <c r="C584" s="219" t="s">
        <v>482</v>
      </c>
      <c r="D584" s="219" t="s">
        <v>1251</v>
      </c>
      <c r="E584" s="219" t="s">
        <v>1252</v>
      </c>
      <c r="F584" s="219" t="s">
        <v>720</v>
      </c>
      <c r="G584" s="219">
        <v>2</v>
      </c>
      <c r="H584" s="219" t="s">
        <v>1254</v>
      </c>
      <c r="I584" s="206" t="s">
        <v>1289</v>
      </c>
      <c r="J584" s="206" t="s">
        <v>1537</v>
      </c>
      <c r="O584" s="235">
        <v>44671</v>
      </c>
    </row>
    <row r="585" spans="1:15" ht="75" x14ac:dyDescent="0.2">
      <c r="A585" s="231" t="s">
        <v>1190</v>
      </c>
      <c r="B585" s="220">
        <v>17</v>
      </c>
      <c r="C585" s="220" t="s">
        <v>482</v>
      </c>
      <c r="D585" s="220" t="s">
        <v>1251</v>
      </c>
      <c r="E585" s="220" t="s">
        <v>1252</v>
      </c>
      <c r="F585" s="220" t="s">
        <v>718</v>
      </c>
      <c r="G585" s="220">
        <v>1</v>
      </c>
      <c r="H585" s="220" t="s">
        <v>1255</v>
      </c>
      <c r="I585" s="206" t="s">
        <v>1289</v>
      </c>
      <c r="J585" s="206" t="s">
        <v>1538</v>
      </c>
      <c r="O585" s="235">
        <v>44671</v>
      </c>
    </row>
    <row r="586" spans="1:15" ht="75" x14ac:dyDescent="0.2">
      <c r="A586" s="231" t="s">
        <v>1190</v>
      </c>
      <c r="B586" s="220">
        <v>17</v>
      </c>
      <c r="C586" s="220" t="s">
        <v>482</v>
      </c>
      <c r="D586" s="220" t="s">
        <v>1251</v>
      </c>
      <c r="E586" s="220" t="s">
        <v>1252</v>
      </c>
      <c r="F586" s="220" t="s">
        <v>718</v>
      </c>
      <c r="G586" s="220">
        <v>2</v>
      </c>
      <c r="H586" s="220" t="s">
        <v>1256</v>
      </c>
      <c r="I586" s="206" t="s">
        <v>737</v>
      </c>
      <c r="J586" s="206" t="s">
        <v>1539</v>
      </c>
      <c r="K586" s="206" t="s">
        <v>1815</v>
      </c>
      <c r="L586" s="206" t="s">
        <v>1795</v>
      </c>
      <c r="O586" s="235">
        <v>44671</v>
      </c>
    </row>
    <row r="587" spans="1:15" ht="75" x14ac:dyDescent="0.2">
      <c r="A587" s="231" t="s">
        <v>1190</v>
      </c>
      <c r="B587" s="220">
        <v>17</v>
      </c>
      <c r="C587" s="220" t="s">
        <v>482</v>
      </c>
      <c r="D587" s="220" t="s">
        <v>1251</v>
      </c>
      <c r="E587" s="220" t="s">
        <v>1252</v>
      </c>
      <c r="F587" s="220" t="s">
        <v>718</v>
      </c>
      <c r="G587" s="220">
        <v>3</v>
      </c>
      <c r="H587" s="220" t="s">
        <v>1257</v>
      </c>
      <c r="I587" s="206" t="s">
        <v>737</v>
      </c>
      <c r="J587" s="206" t="s">
        <v>1539</v>
      </c>
      <c r="K587" s="206" t="s">
        <v>1815</v>
      </c>
      <c r="L587" s="206" t="s">
        <v>1795</v>
      </c>
      <c r="O587" s="235">
        <v>44671</v>
      </c>
    </row>
    <row r="588" spans="1:15" ht="45" x14ac:dyDescent="0.2">
      <c r="A588" s="231" t="s">
        <v>1190</v>
      </c>
      <c r="B588" s="220">
        <v>17</v>
      </c>
      <c r="C588" s="220" t="s">
        <v>482</v>
      </c>
      <c r="D588" s="220" t="s">
        <v>1251</v>
      </c>
      <c r="E588" s="220" t="s">
        <v>1252</v>
      </c>
      <c r="F588" s="220" t="s">
        <v>718</v>
      </c>
      <c r="G588" s="220">
        <v>4</v>
      </c>
      <c r="H588" s="220" t="s">
        <v>1258</v>
      </c>
      <c r="I588" s="206" t="s">
        <v>737</v>
      </c>
      <c r="J588" s="206" t="s">
        <v>1539</v>
      </c>
      <c r="K588" s="206" t="s">
        <v>1815</v>
      </c>
      <c r="L588" s="206" t="s">
        <v>1795</v>
      </c>
      <c r="O588" s="235">
        <v>44671</v>
      </c>
    </row>
    <row r="589" spans="1:15" ht="75" x14ac:dyDescent="0.2">
      <c r="A589" s="231" t="s">
        <v>1190</v>
      </c>
      <c r="B589" s="220">
        <v>17</v>
      </c>
      <c r="C589" s="220" t="s">
        <v>482</v>
      </c>
      <c r="D589" s="220" t="s">
        <v>1251</v>
      </c>
      <c r="E589" s="220" t="s">
        <v>1252</v>
      </c>
      <c r="F589" s="220" t="s">
        <v>718</v>
      </c>
      <c r="G589" s="220">
        <v>5</v>
      </c>
      <c r="H589" s="220" t="s">
        <v>1259</v>
      </c>
      <c r="I589" s="206" t="s">
        <v>737</v>
      </c>
      <c r="J589" s="206" t="s">
        <v>1539</v>
      </c>
      <c r="K589" s="206" t="s">
        <v>1815</v>
      </c>
      <c r="L589" s="206" t="s">
        <v>1795</v>
      </c>
      <c r="O589" s="235">
        <v>44671</v>
      </c>
    </row>
    <row r="590" spans="1:15" ht="60.75" thickBot="1" x14ac:dyDescent="0.25">
      <c r="A590" s="231" t="s">
        <v>1190</v>
      </c>
      <c r="B590" s="220">
        <v>17</v>
      </c>
      <c r="C590" s="220" t="s">
        <v>482</v>
      </c>
      <c r="D590" s="220" t="s">
        <v>1251</v>
      </c>
      <c r="E590" s="220" t="s">
        <v>1252</v>
      </c>
      <c r="F590" s="220" t="s">
        <v>718</v>
      </c>
      <c r="G590" s="220">
        <v>6</v>
      </c>
      <c r="H590" s="220" t="s">
        <v>1260</v>
      </c>
      <c r="I590" s="206" t="s">
        <v>737</v>
      </c>
      <c r="J590" s="206" t="s">
        <v>1539</v>
      </c>
      <c r="K590" s="206" t="s">
        <v>1815</v>
      </c>
      <c r="L590" s="206" t="s">
        <v>1795</v>
      </c>
      <c r="O590" s="235">
        <v>44671</v>
      </c>
    </row>
    <row r="591" spans="1:15" ht="45.75" thickBot="1" x14ac:dyDescent="0.25">
      <c r="A591" s="222" t="s">
        <v>1190</v>
      </c>
      <c r="B591" s="223">
        <v>17</v>
      </c>
      <c r="C591" s="223" t="s">
        <v>482</v>
      </c>
      <c r="D591" s="223" t="s">
        <v>1251</v>
      </c>
      <c r="E591" s="223" t="s">
        <v>1252</v>
      </c>
      <c r="F591" s="223" t="s">
        <v>1282</v>
      </c>
      <c r="G591" s="223">
        <v>3</v>
      </c>
      <c r="H591" s="223" t="s">
        <v>720</v>
      </c>
      <c r="I591" s="225"/>
      <c r="O591" s="235">
        <v>44671</v>
      </c>
    </row>
    <row r="592" spans="1:15" ht="45" x14ac:dyDescent="0.2">
      <c r="A592" s="231" t="s">
        <v>1190</v>
      </c>
      <c r="B592" s="221">
        <v>17</v>
      </c>
      <c r="C592" s="221" t="s">
        <v>482</v>
      </c>
      <c r="D592" s="221" t="s">
        <v>1261</v>
      </c>
      <c r="E592" s="221" t="s">
        <v>1262</v>
      </c>
      <c r="F592" s="221" t="s">
        <v>722</v>
      </c>
      <c r="G592" s="221" t="s">
        <v>811</v>
      </c>
      <c r="H592" s="221"/>
      <c r="I592" s="206" t="s">
        <v>1300</v>
      </c>
      <c r="O592" s="235">
        <v>44671</v>
      </c>
    </row>
    <row r="593" spans="1:15" ht="45" x14ac:dyDescent="0.2">
      <c r="A593" s="231" t="s">
        <v>1190</v>
      </c>
      <c r="B593" s="219">
        <v>17</v>
      </c>
      <c r="C593" s="219" t="s">
        <v>482</v>
      </c>
      <c r="D593" s="219" t="s">
        <v>1261</v>
      </c>
      <c r="E593" s="219" t="s">
        <v>1262</v>
      </c>
      <c r="F593" s="219" t="s">
        <v>720</v>
      </c>
      <c r="G593" s="219">
        <v>1</v>
      </c>
      <c r="H593" s="219" t="s">
        <v>1263</v>
      </c>
      <c r="I593" s="206" t="s">
        <v>1289</v>
      </c>
      <c r="J593" s="206" t="s">
        <v>1540</v>
      </c>
      <c r="O593" s="235">
        <v>44671</v>
      </c>
    </row>
    <row r="594" spans="1:15" ht="90" x14ac:dyDescent="0.2">
      <c r="A594" s="231" t="s">
        <v>1190</v>
      </c>
      <c r="B594" s="220">
        <v>17</v>
      </c>
      <c r="C594" s="220" t="s">
        <v>482</v>
      </c>
      <c r="D594" s="220" t="s">
        <v>1261</v>
      </c>
      <c r="E594" s="220" t="s">
        <v>1262</v>
      </c>
      <c r="F594" s="220" t="s">
        <v>718</v>
      </c>
      <c r="G594" s="220">
        <v>1</v>
      </c>
      <c r="H594" s="220" t="s">
        <v>1264</v>
      </c>
      <c r="I594" s="206" t="s">
        <v>1289</v>
      </c>
      <c r="J594" s="206" t="s">
        <v>1856</v>
      </c>
      <c r="O594" s="235">
        <v>44671</v>
      </c>
    </row>
    <row r="595" spans="1:15" ht="45.75" thickBot="1" x14ac:dyDescent="0.25">
      <c r="A595" s="231" t="s">
        <v>1190</v>
      </c>
      <c r="B595" s="220">
        <v>17</v>
      </c>
      <c r="C595" s="220" t="s">
        <v>482</v>
      </c>
      <c r="D595" s="220" t="s">
        <v>1261</v>
      </c>
      <c r="E595" s="220" t="s">
        <v>1262</v>
      </c>
      <c r="F595" s="220" t="s">
        <v>718</v>
      </c>
      <c r="G595" s="220">
        <v>2</v>
      </c>
      <c r="H595" s="220" t="s">
        <v>1265</v>
      </c>
      <c r="I595" s="206" t="s">
        <v>1289</v>
      </c>
      <c r="J595" s="206" t="s">
        <v>1857</v>
      </c>
      <c r="O595" s="235">
        <v>44671</v>
      </c>
    </row>
    <row r="596" spans="1:15" ht="45.75" thickBot="1" x14ac:dyDescent="0.25">
      <c r="A596" s="222" t="s">
        <v>1190</v>
      </c>
      <c r="B596" s="223">
        <v>17</v>
      </c>
      <c r="C596" s="223" t="s">
        <v>482</v>
      </c>
      <c r="D596" s="223" t="s">
        <v>1261</v>
      </c>
      <c r="E596" s="223" t="s">
        <v>1262</v>
      </c>
      <c r="F596" s="223" t="s">
        <v>1282</v>
      </c>
      <c r="G596" s="223">
        <v>5</v>
      </c>
      <c r="H596" s="223" t="s">
        <v>718</v>
      </c>
      <c r="I596" s="225"/>
      <c r="O596" s="235">
        <v>44671</v>
      </c>
    </row>
    <row r="597" spans="1:15" ht="45" x14ac:dyDescent="0.2">
      <c r="A597" s="231" t="s">
        <v>1190</v>
      </c>
      <c r="B597" s="221">
        <v>17</v>
      </c>
      <c r="C597" s="221" t="s">
        <v>482</v>
      </c>
      <c r="D597" s="221" t="s">
        <v>1266</v>
      </c>
      <c r="E597" s="221" t="s">
        <v>1267</v>
      </c>
      <c r="F597" s="221" t="s">
        <v>722</v>
      </c>
      <c r="G597" s="221" t="s">
        <v>811</v>
      </c>
      <c r="H597" s="221"/>
      <c r="I597" s="206" t="s">
        <v>1300</v>
      </c>
      <c r="O597" s="235">
        <v>44671</v>
      </c>
    </row>
    <row r="598" spans="1:15" ht="90" x14ac:dyDescent="0.2">
      <c r="A598" s="231" t="s">
        <v>1190</v>
      </c>
      <c r="B598" s="219">
        <v>17</v>
      </c>
      <c r="C598" s="219" t="s">
        <v>482</v>
      </c>
      <c r="D598" s="219" t="s">
        <v>1266</v>
      </c>
      <c r="E598" s="219" t="s">
        <v>1267</v>
      </c>
      <c r="F598" s="219" t="s">
        <v>720</v>
      </c>
      <c r="G598" s="219">
        <v>1</v>
      </c>
      <c r="H598" s="219" t="s">
        <v>1268</v>
      </c>
      <c r="I598" s="206" t="s">
        <v>1289</v>
      </c>
      <c r="J598" s="206" t="s">
        <v>1541</v>
      </c>
      <c r="O598" s="235">
        <v>44671</v>
      </c>
    </row>
    <row r="599" spans="1:15" ht="117" customHeight="1" x14ac:dyDescent="0.2">
      <c r="A599" s="231" t="s">
        <v>1190</v>
      </c>
      <c r="B599" s="220">
        <v>17</v>
      </c>
      <c r="C599" s="220" t="s">
        <v>482</v>
      </c>
      <c r="D599" s="220" t="s">
        <v>1266</v>
      </c>
      <c r="E599" s="220" t="s">
        <v>1267</v>
      </c>
      <c r="F599" s="220" t="s">
        <v>718</v>
      </c>
      <c r="G599" s="220">
        <v>1</v>
      </c>
      <c r="H599" s="220" t="s">
        <v>1269</v>
      </c>
      <c r="I599" s="206" t="s">
        <v>737</v>
      </c>
      <c r="J599" s="206" t="s">
        <v>1542</v>
      </c>
      <c r="K599" s="206" t="s">
        <v>1815</v>
      </c>
      <c r="L599" s="206" t="s">
        <v>1795</v>
      </c>
      <c r="O599" s="235">
        <v>44671</v>
      </c>
    </row>
    <row r="600" spans="1:15" ht="72.599999999999994" customHeight="1" x14ac:dyDescent="0.2">
      <c r="A600" s="231" t="s">
        <v>1190</v>
      </c>
      <c r="B600" s="220">
        <v>17</v>
      </c>
      <c r="C600" s="220" t="s">
        <v>482</v>
      </c>
      <c r="D600" s="220" t="s">
        <v>1266</v>
      </c>
      <c r="E600" s="220" t="s">
        <v>1267</v>
      </c>
      <c r="F600" s="220" t="s">
        <v>718</v>
      </c>
      <c r="G600" s="220">
        <v>2</v>
      </c>
      <c r="H600" s="220" t="s">
        <v>1270</v>
      </c>
      <c r="I600" s="206" t="s">
        <v>737</v>
      </c>
      <c r="J600" s="206" t="s">
        <v>1543</v>
      </c>
      <c r="K600" s="206" t="s">
        <v>1815</v>
      </c>
      <c r="L600" s="206" t="s">
        <v>1795</v>
      </c>
      <c r="O600" s="235">
        <v>44671</v>
      </c>
    </row>
    <row r="601" spans="1:15" ht="75" x14ac:dyDescent="0.2">
      <c r="A601" s="231" t="s">
        <v>1190</v>
      </c>
      <c r="B601" s="220">
        <v>17</v>
      </c>
      <c r="C601" s="220" t="s">
        <v>482</v>
      </c>
      <c r="D601" s="220" t="s">
        <v>1266</v>
      </c>
      <c r="E601" s="220" t="s">
        <v>1267</v>
      </c>
      <c r="F601" s="220" t="s">
        <v>718</v>
      </c>
      <c r="G601" s="220">
        <v>3</v>
      </c>
      <c r="H601" s="220" t="s">
        <v>1858</v>
      </c>
      <c r="I601" s="206" t="s">
        <v>737</v>
      </c>
      <c r="J601" s="206" t="s">
        <v>1544</v>
      </c>
      <c r="K601" s="206" t="s">
        <v>1815</v>
      </c>
      <c r="L601" s="206" t="s">
        <v>1795</v>
      </c>
      <c r="O601" s="235">
        <v>44671</v>
      </c>
    </row>
    <row r="602" spans="1:15" ht="60" x14ac:dyDescent="0.2">
      <c r="A602" s="231" t="s">
        <v>1190</v>
      </c>
      <c r="B602" s="220">
        <v>17</v>
      </c>
      <c r="C602" s="220" t="s">
        <v>482</v>
      </c>
      <c r="D602" s="220" t="s">
        <v>1266</v>
      </c>
      <c r="E602" s="220" t="s">
        <v>1267</v>
      </c>
      <c r="F602" s="220" t="s">
        <v>718</v>
      </c>
      <c r="G602" s="220">
        <v>4</v>
      </c>
      <c r="H602" s="220" t="s">
        <v>1271</v>
      </c>
      <c r="I602" s="206" t="s">
        <v>737</v>
      </c>
      <c r="J602" s="206" t="s">
        <v>1544</v>
      </c>
      <c r="K602" s="206" t="s">
        <v>1815</v>
      </c>
      <c r="L602" s="206" t="s">
        <v>1795</v>
      </c>
      <c r="O602" s="235">
        <v>44671</v>
      </c>
    </row>
    <row r="603" spans="1:15" ht="87" customHeight="1" x14ac:dyDescent="0.2">
      <c r="A603" s="231" t="s">
        <v>1190</v>
      </c>
      <c r="B603" s="220">
        <v>17</v>
      </c>
      <c r="C603" s="220" t="s">
        <v>482</v>
      </c>
      <c r="D603" s="220" t="s">
        <v>1266</v>
      </c>
      <c r="E603" s="220" t="s">
        <v>1267</v>
      </c>
      <c r="F603" s="220" t="s">
        <v>718</v>
      </c>
      <c r="G603" s="220">
        <v>5</v>
      </c>
      <c r="H603" s="220" t="s">
        <v>1272</v>
      </c>
      <c r="I603" s="206" t="s">
        <v>737</v>
      </c>
      <c r="J603" s="206" t="s">
        <v>1544</v>
      </c>
      <c r="K603" s="206" t="s">
        <v>1815</v>
      </c>
      <c r="L603" s="206" t="s">
        <v>1795</v>
      </c>
      <c r="O603" s="235">
        <v>44671</v>
      </c>
    </row>
    <row r="604" spans="1:15" ht="103.9" customHeight="1" x14ac:dyDescent="0.2">
      <c r="A604" s="231" t="s">
        <v>1190</v>
      </c>
      <c r="B604" s="220">
        <v>17</v>
      </c>
      <c r="C604" s="220" t="s">
        <v>482</v>
      </c>
      <c r="D604" s="220" t="s">
        <v>1266</v>
      </c>
      <c r="E604" s="220" t="s">
        <v>1267</v>
      </c>
      <c r="F604" s="220" t="s">
        <v>718</v>
      </c>
      <c r="G604" s="220">
        <v>6</v>
      </c>
      <c r="H604" s="220" t="s">
        <v>1250</v>
      </c>
      <c r="I604" s="206" t="s">
        <v>737</v>
      </c>
      <c r="J604" s="206" t="s">
        <v>1544</v>
      </c>
      <c r="K604" s="206" t="s">
        <v>1815</v>
      </c>
      <c r="L604" s="206" t="s">
        <v>1795</v>
      </c>
      <c r="O604" s="235">
        <v>44671</v>
      </c>
    </row>
    <row r="605" spans="1:15" ht="96.6" customHeight="1" thickBot="1" x14ac:dyDescent="0.25">
      <c r="A605" s="231" t="s">
        <v>1190</v>
      </c>
      <c r="B605" s="220">
        <v>17</v>
      </c>
      <c r="C605" s="220" t="s">
        <v>482</v>
      </c>
      <c r="D605" s="220" t="s">
        <v>1266</v>
      </c>
      <c r="E605" s="220" t="s">
        <v>1267</v>
      </c>
      <c r="F605" s="220" t="s">
        <v>718</v>
      </c>
      <c r="G605" s="220">
        <v>7</v>
      </c>
      <c r="H605" s="220" t="s">
        <v>1273</v>
      </c>
      <c r="I605" s="206" t="s">
        <v>737</v>
      </c>
      <c r="J605" s="206" t="s">
        <v>1544</v>
      </c>
      <c r="K605" s="206" t="s">
        <v>1815</v>
      </c>
      <c r="L605" s="206" t="s">
        <v>1795</v>
      </c>
      <c r="O605" s="235">
        <v>44671</v>
      </c>
    </row>
    <row r="606" spans="1:15" ht="45.75" thickBot="1" x14ac:dyDescent="0.25">
      <c r="A606" s="222" t="s">
        <v>1190</v>
      </c>
      <c r="B606" s="223">
        <v>17</v>
      </c>
      <c r="C606" s="223" t="s">
        <v>482</v>
      </c>
      <c r="D606" s="223" t="s">
        <v>1266</v>
      </c>
      <c r="E606" s="223" t="s">
        <v>1267</v>
      </c>
      <c r="F606" s="223" t="s">
        <v>1282</v>
      </c>
      <c r="G606" s="223">
        <v>3</v>
      </c>
      <c r="H606" s="223" t="s">
        <v>720</v>
      </c>
      <c r="I606" s="225"/>
      <c r="O606" s="235">
        <v>44671</v>
      </c>
    </row>
  </sheetData>
  <autoFilter ref="A2:N606" xr:uid="{9EBD3B03-B477-4281-A3A5-214BE8F8EB6B}"/>
  <mergeCells count="1">
    <mergeCell ref="A1:N1"/>
  </mergeCells>
  <conditionalFormatting sqref="I1:I1048576">
    <cfRule type="cellIs" dxfId="66" priority="1" operator="equal">
      <formula>"NA"</formula>
    </cfRule>
    <cfRule type="cellIs" dxfId="65" priority="2" operator="equal">
      <formula>"Complete"</formula>
    </cfRule>
    <cfRule type="cellIs" dxfId="64" priority="3" operator="equal">
      <formula>"Incomplete"</formula>
    </cfRule>
  </conditionalFormatting>
  <dataValidations count="4">
    <dataValidation type="list" allowBlank="1" showInputMessage="1" showErrorMessage="1" sqref="H11 H23 H29 H36 H43 H52 H60 H68 H78 H86 H91 H100 H106 H118 H124 H131 H143 H153 H160 H166 H173 H184 H189 H202 H211 H216 H224 H232 H242 H252 H265 H271 H278 H294 H591 H303 H308 H313 H318 H324 H338 H349 H356 H366 H372 H378 H382 H392 H397 H402 H406 H412 H423 H427 H434 H445 H450 H458 H464 G474 H480 H484 H490 H495 H506 H520 H534 H541 H550 H559 H563 H571 H581 H596 H606 H299" xr:uid="{8F70F96C-E26E-4694-88A6-BBB7D87A4788}">
      <formula1>"Partial Baseline, Baseline, Partial Target, Target, Partial Advanced, Advanced"</formula1>
    </dataValidation>
    <dataValidation type="list" allowBlank="1" showInputMessage="1" showErrorMessage="1" sqref="G11 G23 G29 G36 G43 G52 G60 G68 G78 G86 G91 G100 G106 G118 G124 G131 G143 G153 G160 G166 G173 G184 G189 G202 G211 G216 G224 G232 G242 G252 G265 G271 G278 G294 G591 G303 G308 G313 G318 G324 G338 G349 G356 G366 G372 G378 G382 G392 G397 G402 G406 G412 G423 G427 G434 G445 G450 G458 G464 F474 G480 G484 G490 G495 G506 G520 G534 G541 G550 G559 G563 G571 G581 G596 G606 G299" xr:uid="{E848CBB0-65A5-4A59-A71B-F4BBBF737466}">
      <formula1>"0,1,2,3,4,5"</formula1>
    </dataValidation>
    <dataValidation type="list" allowBlank="1" showInputMessage="1" showErrorMessage="1" sqref="M3:N531" xr:uid="{4F4AFAA5-0004-48B0-BDC0-8CDA94D48FD1}">
      <formula1>"Individual, Team, Organisational, Audited, Improving"</formula1>
    </dataValidation>
    <dataValidation type="list" allowBlank="1" showInputMessage="1" showErrorMessage="1" sqref="I3:I606" xr:uid="{D0366713-3CD2-41FB-84B0-F2CB741B6D4F}">
      <formula1>"Incomplete, Complete,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2E30-2F4F-4FDD-93BF-E3C5AC6F2BF6}">
  <sheetPr>
    <pageSetUpPr fitToPage="1"/>
  </sheetPr>
  <dimension ref="A1:DI116"/>
  <sheetViews>
    <sheetView showGridLines="0" topLeftCell="C78" zoomScale="60" zoomScaleNormal="60" zoomScaleSheetLayoutView="33" workbookViewId="0">
      <selection activeCell="K94" sqref="K94"/>
    </sheetView>
  </sheetViews>
  <sheetFormatPr defaultColWidth="2.75" defaultRowHeight="31.5" customHeight="1" x14ac:dyDescent="0.2"/>
  <cols>
    <col min="1" max="1" width="17.25" style="33" hidden="1" customWidth="1"/>
    <col min="2" max="2" width="11.5" style="33" hidden="1" customWidth="1"/>
    <col min="3" max="3" width="24.5" style="33" customWidth="1"/>
    <col min="4" max="4" width="20.375" style="33" customWidth="1"/>
    <col min="5" max="5" width="24.25" style="33" customWidth="1"/>
    <col min="6" max="6" width="40.75" style="33" customWidth="1"/>
    <col min="7" max="11" width="16.625" style="33" customWidth="1"/>
    <col min="12" max="12" width="15.25" style="33" customWidth="1"/>
    <col min="13" max="13" width="15.625" style="33" customWidth="1"/>
    <col min="14" max="14" width="31.25" style="33" customWidth="1"/>
    <col min="15" max="15" width="22.75" style="33" customWidth="1"/>
    <col min="16" max="16" width="23.25" style="33" customWidth="1"/>
    <col min="17" max="17" width="6.5" style="33" hidden="1" customWidth="1"/>
    <col min="18" max="18" width="10.25" style="33" hidden="1" customWidth="1"/>
    <col min="19" max="19" width="13.75" style="33" hidden="1" customWidth="1"/>
    <col min="20" max="20" width="11.625" style="33" hidden="1" customWidth="1"/>
    <col min="21" max="21" width="14.25" style="33" hidden="1" customWidth="1"/>
    <col min="22" max="22" width="15.625" style="128" hidden="1" customWidth="1"/>
    <col min="23" max="23" width="11" style="33" hidden="1" customWidth="1"/>
    <col min="24" max="34" width="4.25" style="33" hidden="1" customWidth="1"/>
    <col min="35" max="35" width="10.25" style="33" hidden="1" customWidth="1"/>
    <col min="36" max="46" width="4.25" style="33" hidden="1" customWidth="1"/>
    <col min="47" max="47" width="8.125" style="33" hidden="1" customWidth="1"/>
    <col min="48" max="70" width="4.25" style="33" hidden="1" customWidth="1"/>
    <col min="71" max="71" width="19.125" style="33" customWidth="1"/>
    <col min="72" max="72" width="14.25" style="33" hidden="1" customWidth="1"/>
    <col min="73" max="73" width="15" style="33" hidden="1" customWidth="1"/>
    <col min="74" max="74" width="19.75" style="33" hidden="1" customWidth="1"/>
    <col min="75" max="76" width="26.375" style="33" customWidth="1"/>
    <col min="77" max="84" width="2.75" style="33"/>
    <col min="85" max="85" width="2.75" style="33" customWidth="1"/>
    <col min="86" max="16384" width="2.75" style="33"/>
  </cols>
  <sheetData>
    <row r="1" spans="1:113" s="53" customFormat="1" ht="88.5" customHeight="1" thickBot="1" x14ac:dyDescent="0.25">
      <c r="C1" s="410" t="s">
        <v>1284</v>
      </c>
      <c r="D1" s="411"/>
      <c r="E1" s="411"/>
      <c r="F1" s="411"/>
      <c r="G1" s="411"/>
      <c r="H1" s="411"/>
      <c r="I1" s="411"/>
      <c r="J1" s="411"/>
      <c r="K1" s="411"/>
      <c r="L1" s="411"/>
      <c r="M1" s="411"/>
      <c r="N1" s="411"/>
      <c r="O1" s="411"/>
      <c r="P1" s="411"/>
      <c r="Q1" s="75"/>
      <c r="R1" s="75"/>
      <c r="S1" s="75"/>
      <c r="T1" s="75"/>
      <c r="U1" s="75"/>
      <c r="V1" s="75"/>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7"/>
      <c r="BS1" s="163"/>
      <c r="BT1" s="163"/>
      <c r="BU1" s="163"/>
      <c r="BV1" s="163"/>
      <c r="BW1" s="423" t="s">
        <v>723</v>
      </c>
      <c r="BX1" s="424"/>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row>
    <row r="2" spans="1:113" s="53" customFormat="1" ht="45" hidden="1" customHeight="1" x14ac:dyDescent="0.2">
      <c r="C2" s="432"/>
      <c r="D2" s="433"/>
      <c r="E2" s="433"/>
      <c r="F2" s="433"/>
      <c r="G2" s="433"/>
      <c r="H2" s="433"/>
      <c r="I2" s="433"/>
      <c r="J2" s="433"/>
      <c r="K2" s="433"/>
      <c r="L2" s="433"/>
      <c r="M2" s="433"/>
      <c r="N2" s="433"/>
      <c r="O2" s="433"/>
      <c r="P2" s="434"/>
      <c r="Q2" s="91"/>
      <c r="R2" s="76"/>
      <c r="S2" s="76"/>
      <c r="T2" s="76"/>
      <c r="U2" s="76"/>
      <c r="V2" s="77" t="s">
        <v>1</v>
      </c>
      <c r="W2" s="92">
        <v>1</v>
      </c>
      <c r="X2" s="93"/>
      <c r="Y2" s="94"/>
      <c r="Z2" s="95" t="s">
        <v>2</v>
      </c>
      <c r="AA2" s="95"/>
      <c r="AB2" s="95"/>
      <c r="AC2" s="95"/>
      <c r="AD2" s="95"/>
      <c r="AE2" s="96"/>
      <c r="AF2" s="95" t="s">
        <v>3</v>
      </c>
      <c r="AG2" s="95"/>
      <c r="AH2" s="95"/>
      <c r="AI2" s="95"/>
      <c r="AJ2" s="97"/>
      <c r="AK2" s="95" t="s">
        <v>4</v>
      </c>
      <c r="AL2" s="95"/>
      <c r="AM2" s="95"/>
      <c r="AN2" s="95"/>
      <c r="AO2" s="98"/>
      <c r="AP2" s="95" t="s">
        <v>5</v>
      </c>
      <c r="AQ2" s="95"/>
      <c r="AR2" s="95"/>
      <c r="AS2" s="95"/>
      <c r="AT2" s="95"/>
      <c r="AU2" s="95"/>
      <c r="AV2" s="95"/>
      <c r="AW2" s="99"/>
      <c r="AX2" s="100" t="s">
        <v>6</v>
      </c>
      <c r="AY2" s="101"/>
      <c r="AZ2" s="101"/>
      <c r="BA2" s="101"/>
      <c r="BB2" s="101"/>
      <c r="BC2" s="101"/>
      <c r="BD2" s="101"/>
      <c r="BE2" s="101"/>
      <c r="BF2" s="101"/>
      <c r="BG2" s="101"/>
      <c r="BH2" s="101"/>
      <c r="BI2" s="101"/>
      <c r="BJ2" s="101"/>
      <c r="BK2" s="101"/>
      <c r="BL2" s="101"/>
      <c r="BM2" s="101"/>
      <c r="BN2" s="101"/>
      <c r="BO2" s="101"/>
      <c r="BP2" s="101"/>
      <c r="BQ2" s="101"/>
      <c r="BR2" s="102"/>
      <c r="BS2" s="163"/>
      <c r="BT2" s="163"/>
      <c r="BU2" s="163"/>
      <c r="BV2" s="164"/>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row>
    <row r="3" spans="1:113" s="87" customFormat="1" ht="55.9" customHeight="1" x14ac:dyDescent="0.2">
      <c r="A3" s="53"/>
      <c r="B3" s="53"/>
      <c r="C3" s="70" t="s">
        <v>7</v>
      </c>
      <c r="D3" s="68" t="s">
        <v>8</v>
      </c>
      <c r="E3" s="68" t="s">
        <v>9</v>
      </c>
      <c r="F3" s="68" t="s">
        <v>10</v>
      </c>
      <c r="G3" s="425" t="s">
        <v>698</v>
      </c>
      <c r="H3" s="68" t="s">
        <v>699</v>
      </c>
      <c r="I3" s="68" t="s">
        <v>12</v>
      </c>
      <c r="J3" s="68" t="s">
        <v>13</v>
      </c>
      <c r="K3" s="427" t="s">
        <v>706</v>
      </c>
      <c r="L3" s="68" t="s">
        <v>14</v>
      </c>
      <c r="M3" s="68" t="s">
        <v>15</v>
      </c>
      <c r="N3" s="68" t="s">
        <v>16</v>
      </c>
      <c r="O3" s="68" t="s">
        <v>17</v>
      </c>
      <c r="P3" s="68" t="s">
        <v>18</v>
      </c>
      <c r="Q3" s="78"/>
      <c r="R3" s="65" t="s">
        <v>19</v>
      </c>
      <c r="S3" s="65" t="s">
        <v>20</v>
      </c>
      <c r="T3" s="65" t="s">
        <v>21</v>
      </c>
      <c r="U3" s="65" t="s">
        <v>22</v>
      </c>
      <c r="V3" s="65" t="s">
        <v>23</v>
      </c>
      <c r="W3" s="79">
        <v>2020</v>
      </c>
      <c r="X3" s="79"/>
      <c r="Y3" s="79"/>
      <c r="Z3" s="79"/>
      <c r="AA3" s="79"/>
      <c r="AB3" s="79"/>
      <c r="AC3" s="79"/>
      <c r="AD3" s="79"/>
      <c r="AE3" s="79"/>
      <c r="AF3" s="79"/>
      <c r="AG3" s="79"/>
      <c r="AH3" s="80"/>
      <c r="AI3" s="81">
        <v>2021</v>
      </c>
      <c r="AJ3" s="82"/>
      <c r="AK3" s="82"/>
      <c r="AL3" s="82"/>
      <c r="AM3" s="82"/>
      <c r="AN3" s="82"/>
      <c r="AO3" s="82"/>
      <c r="AP3" s="82"/>
      <c r="AQ3" s="82"/>
      <c r="AR3" s="82"/>
      <c r="AS3" s="82"/>
      <c r="AT3" s="83"/>
      <c r="AU3" s="84">
        <v>2022</v>
      </c>
      <c r="AV3" s="79"/>
      <c r="AW3" s="79"/>
      <c r="AX3" s="79"/>
      <c r="AY3" s="79"/>
      <c r="AZ3" s="79"/>
      <c r="BA3" s="79"/>
      <c r="BB3" s="79"/>
      <c r="BC3" s="79"/>
      <c r="BD3" s="79"/>
      <c r="BE3" s="79"/>
      <c r="BF3" s="80"/>
      <c r="BG3" s="85" t="s">
        <v>24</v>
      </c>
      <c r="BH3" s="85"/>
      <c r="BI3" s="85"/>
      <c r="BJ3" s="85"/>
      <c r="BK3" s="85"/>
      <c r="BL3" s="85"/>
      <c r="BM3" s="85"/>
      <c r="BN3" s="85"/>
      <c r="BO3" s="85"/>
      <c r="BP3" s="85"/>
      <c r="BQ3" s="85"/>
      <c r="BR3" s="86"/>
      <c r="BS3" s="165"/>
      <c r="BT3" s="166"/>
      <c r="BU3" s="166" t="s">
        <v>702</v>
      </c>
      <c r="BV3" s="187" t="s">
        <v>703</v>
      </c>
      <c r="BW3" s="189" t="s">
        <v>717</v>
      </c>
      <c r="BX3" s="190" t="s">
        <v>706</v>
      </c>
      <c r="BY3" s="165"/>
      <c r="BZ3" s="165"/>
      <c r="CA3" s="165"/>
      <c r="CB3" s="165"/>
      <c r="CC3" s="165">
        <f>VLOOKUP(I6,$I$4:$BW$10,2,TRUE)</f>
        <v>-2</v>
      </c>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row>
    <row r="4" spans="1:113" s="53" customFormat="1" ht="6" customHeight="1" x14ac:dyDescent="0.2">
      <c r="C4" s="71"/>
      <c r="D4" s="69"/>
      <c r="E4" s="69"/>
      <c r="F4" s="69"/>
      <c r="G4" s="426"/>
      <c r="H4" s="69"/>
      <c r="I4" s="69"/>
      <c r="J4" s="69"/>
      <c r="K4" s="428"/>
      <c r="L4" s="69"/>
      <c r="M4" s="69"/>
      <c r="N4" s="69"/>
      <c r="O4" s="69"/>
      <c r="P4" s="69"/>
      <c r="Q4" s="91"/>
      <c r="R4" s="65"/>
      <c r="S4" s="65"/>
      <c r="T4" s="65"/>
      <c r="U4" s="65"/>
      <c r="V4" s="65"/>
      <c r="W4" s="103">
        <v>1</v>
      </c>
      <c r="X4" s="104">
        <v>2</v>
      </c>
      <c r="Y4" s="104">
        <v>3</v>
      </c>
      <c r="Z4" s="104">
        <v>4</v>
      </c>
      <c r="AA4" s="104">
        <v>5</v>
      </c>
      <c r="AB4" s="104">
        <v>6</v>
      </c>
      <c r="AC4" s="104">
        <v>7</v>
      </c>
      <c r="AD4" s="104">
        <v>8</v>
      </c>
      <c r="AE4" s="104">
        <v>9</v>
      </c>
      <c r="AF4" s="104">
        <v>10</v>
      </c>
      <c r="AG4" s="104">
        <v>11</v>
      </c>
      <c r="AH4" s="104">
        <v>12</v>
      </c>
      <c r="AI4" s="104">
        <v>13</v>
      </c>
      <c r="AJ4" s="104">
        <v>14</v>
      </c>
      <c r="AK4" s="104">
        <v>15</v>
      </c>
      <c r="AL4" s="104">
        <v>16</v>
      </c>
      <c r="AM4" s="104">
        <v>17</v>
      </c>
      <c r="AN4" s="104">
        <v>18</v>
      </c>
      <c r="AO4" s="104">
        <v>19</v>
      </c>
      <c r="AP4" s="104">
        <v>20</v>
      </c>
      <c r="AQ4" s="104">
        <v>21</v>
      </c>
      <c r="AR4" s="104">
        <v>22</v>
      </c>
      <c r="AS4" s="104">
        <v>23</v>
      </c>
      <c r="AT4" s="104">
        <v>24</v>
      </c>
      <c r="AU4" s="104">
        <v>25</v>
      </c>
      <c r="AV4" s="104">
        <v>26</v>
      </c>
      <c r="AW4" s="104">
        <v>27</v>
      </c>
      <c r="AX4" s="104">
        <v>28</v>
      </c>
      <c r="AY4" s="104">
        <v>29</v>
      </c>
      <c r="AZ4" s="104">
        <v>30</v>
      </c>
      <c r="BA4" s="104">
        <v>31</v>
      </c>
      <c r="BB4" s="104">
        <v>32</v>
      </c>
      <c r="BC4" s="104">
        <v>33</v>
      </c>
      <c r="BD4" s="104">
        <v>34</v>
      </c>
      <c r="BE4" s="104">
        <v>35</v>
      </c>
      <c r="BF4" s="104">
        <v>36</v>
      </c>
      <c r="BG4" s="104">
        <v>37</v>
      </c>
      <c r="BH4" s="104">
        <v>38</v>
      </c>
      <c r="BI4" s="104">
        <v>39</v>
      </c>
      <c r="BJ4" s="104">
        <v>40</v>
      </c>
      <c r="BK4" s="104">
        <v>41</v>
      </c>
      <c r="BL4" s="104">
        <v>42</v>
      </c>
      <c r="BM4" s="104">
        <v>43</v>
      </c>
      <c r="BN4" s="104">
        <v>44</v>
      </c>
      <c r="BO4" s="104">
        <v>45</v>
      </c>
      <c r="BP4" s="104">
        <v>46</v>
      </c>
      <c r="BQ4" s="104">
        <v>47</v>
      </c>
      <c r="BR4" s="105">
        <v>48</v>
      </c>
      <c r="BS4" s="163"/>
      <c r="BT4" s="166"/>
      <c r="BU4" s="166"/>
      <c r="BV4" s="187"/>
      <c r="BW4" s="191"/>
      <c r="BX4" s="192"/>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row>
    <row r="5" spans="1:113" s="53" customFormat="1" ht="55.9" customHeight="1" x14ac:dyDescent="0.2">
      <c r="C5" s="429" t="s">
        <v>521</v>
      </c>
      <c r="D5" s="430"/>
      <c r="E5" s="430"/>
      <c r="F5" s="430"/>
      <c r="G5" s="430"/>
      <c r="H5" s="430"/>
      <c r="I5" s="430"/>
      <c r="J5" s="430"/>
      <c r="K5" s="430"/>
      <c r="L5" s="430"/>
      <c r="M5" s="430"/>
      <c r="N5" s="430"/>
      <c r="O5" s="430"/>
      <c r="P5" s="431"/>
      <c r="Q5" s="91"/>
      <c r="R5" s="106">
        <v>0</v>
      </c>
      <c r="S5" s="107">
        <v>0</v>
      </c>
      <c r="T5" s="106">
        <v>0</v>
      </c>
      <c r="U5" s="107">
        <v>0</v>
      </c>
      <c r="V5" s="108">
        <v>0</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109"/>
      <c r="BS5" s="163"/>
      <c r="BT5" s="21" t="s">
        <v>522</v>
      </c>
      <c r="BU5" s="166" t="s">
        <v>521</v>
      </c>
      <c r="BV5" s="188">
        <f>H11-G11</f>
        <v>2.8</v>
      </c>
      <c r="BW5" s="191">
        <v>0</v>
      </c>
      <c r="BX5" s="192" t="s">
        <v>724</v>
      </c>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row>
    <row r="6" spans="1:113" s="53" customFormat="1" ht="55.9" customHeight="1" x14ac:dyDescent="0.2">
      <c r="C6" s="40" t="s">
        <v>26</v>
      </c>
      <c r="D6" s="21" t="s">
        <v>522</v>
      </c>
      <c r="E6" s="21" t="s">
        <v>523</v>
      </c>
      <c r="F6" s="21" t="s">
        <v>524</v>
      </c>
      <c r="G6" s="21">
        <v>1</v>
      </c>
      <c r="H6" s="21">
        <f>'CRF Workbook'!G11</f>
        <v>2</v>
      </c>
      <c r="I6" s="21">
        <v>3</v>
      </c>
      <c r="J6" s="147">
        <f>(I6-H6)</f>
        <v>1</v>
      </c>
      <c r="K6" s="195" t="str">
        <f>VLOOKUP(H6,$BW$5:$BX$10,2,TRUE)</f>
        <v>Partial Target</v>
      </c>
      <c r="L6" s="21" t="s">
        <v>30</v>
      </c>
      <c r="M6" s="21"/>
      <c r="N6" s="21"/>
      <c r="O6" s="21"/>
      <c r="P6" s="21"/>
      <c r="Q6" s="91"/>
      <c r="R6" s="110">
        <v>0</v>
      </c>
      <c r="S6" s="110">
        <v>0</v>
      </c>
      <c r="T6" s="110">
        <v>0</v>
      </c>
      <c r="U6" s="110">
        <v>0</v>
      </c>
      <c r="V6" s="111">
        <v>0</v>
      </c>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109"/>
      <c r="BS6" s="163"/>
      <c r="BT6" s="21" t="s">
        <v>522</v>
      </c>
      <c r="BU6" s="166" t="s">
        <v>533</v>
      </c>
      <c r="BV6" s="188">
        <f>H17-G17</f>
        <v>1.5</v>
      </c>
      <c r="BW6" s="191">
        <v>1</v>
      </c>
      <c r="BX6" s="192" t="s">
        <v>722</v>
      </c>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row>
    <row r="7" spans="1:113" s="53" customFormat="1" ht="55.9" customHeight="1" x14ac:dyDescent="0.2">
      <c r="C7" s="40" t="s">
        <v>26</v>
      </c>
      <c r="D7" s="21" t="s">
        <v>522</v>
      </c>
      <c r="E7" s="21" t="s">
        <v>525</v>
      </c>
      <c r="F7" s="53" t="s">
        <v>526</v>
      </c>
      <c r="G7" s="21">
        <v>0</v>
      </c>
      <c r="H7" s="21">
        <f>'CRF Workbook'!G23</f>
        <v>5</v>
      </c>
      <c r="I7" s="21">
        <v>3</v>
      </c>
      <c r="J7" s="147">
        <f t="shared" ref="J7:J10" si="0">(I7-H7)</f>
        <v>-2</v>
      </c>
      <c r="K7" s="195" t="str">
        <f t="shared" ref="K7:K10" si="1">VLOOKUP(H7,$BW$5:$BX$10,2,TRUE)</f>
        <v>Advanced</v>
      </c>
      <c r="L7" s="21" t="s">
        <v>30</v>
      </c>
      <c r="M7" s="21"/>
      <c r="N7" s="21"/>
      <c r="O7" s="21"/>
      <c r="P7" s="21"/>
      <c r="Q7" s="91"/>
      <c r="R7" s="110">
        <v>0</v>
      </c>
      <c r="S7" s="110">
        <v>0</v>
      </c>
      <c r="T7" s="110">
        <v>0</v>
      </c>
      <c r="U7" s="110">
        <v>0</v>
      </c>
      <c r="V7" s="111">
        <v>0</v>
      </c>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109"/>
      <c r="BS7" s="163"/>
      <c r="BT7" s="21" t="s">
        <v>522</v>
      </c>
      <c r="BU7" s="166" t="s">
        <v>538</v>
      </c>
      <c r="BV7" s="188">
        <f>H23-G23</f>
        <v>3</v>
      </c>
      <c r="BW7" s="191">
        <v>2</v>
      </c>
      <c r="BX7" s="192" t="s">
        <v>721</v>
      </c>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row>
    <row r="8" spans="1:113" s="53" customFormat="1" ht="55.9" customHeight="1" x14ac:dyDescent="0.2">
      <c r="B8" s="53" t="s">
        <v>32</v>
      </c>
      <c r="C8" s="40" t="s">
        <v>26</v>
      </c>
      <c r="D8" s="21" t="s">
        <v>522</v>
      </c>
      <c r="E8" s="21" t="s">
        <v>527</v>
      </c>
      <c r="F8" s="21" t="s">
        <v>528</v>
      </c>
      <c r="G8" s="21">
        <v>1</v>
      </c>
      <c r="H8" s="21">
        <f>'CRF Workbook'!G29</f>
        <v>5</v>
      </c>
      <c r="I8" s="21">
        <v>3</v>
      </c>
      <c r="J8" s="147">
        <f t="shared" si="0"/>
        <v>-2</v>
      </c>
      <c r="K8" s="195" t="str">
        <f t="shared" si="1"/>
        <v>Advanced</v>
      </c>
      <c r="L8" s="21" t="s">
        <v>30</v>
      </c>
      <c r="M8" s="21"/>
      <c r="N8" s="21"/>
      <c r="O8" s="21"/>
      <c r="P8" s="21"/>
      <c r="Q8" s="112"/>
      <c r="R8" s="113">
        <v>0</v>
      </c>
      <c r="S8" s="113"/>
      <c r="T8" s="113"/>
      <c r="U8" s="113"/>
      <c r="V8" s="11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109"/>
      <c r="BS8" s="163"/>
      <c r="BT8" s="21" t="s">
        <v>522</v>
      </c>
      <c r="BU8" s="166" t="s">
        <v>543</v>
      </c>
      <c r="BV8" s="187">
        <f>H27-G27</f>
        <v>0</v>
      </c>
      <c r="BW8" s="191">
        <v>3</v>
      </c>
      <c r="BX8" s="192" t="s">
        <v>720</v>
      </c>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row>
    <row r="9" spans="1:113" s="53" customFormat="1" ht="55.9" customHeight="1" x14ac:dyDescent="0.2">
      <c r="C9" s="40" t="s">
        <v>26</v>
      </c>
      <c r="D9" s="21" t="s">
        <v>522</v>
      </c>
      <c r="E9" s="21" t="s">
        <v>529</v>
      </c>
      <c r="F9" s="21" t="s">
        <v>530</v>
      </c>
      <c r="G9" s="21">
        <v>0</v>
      </c>
      <c r="H9" s="21">
        <f>'CRF Workbook'!G36</f>
        <v>0</v>
      </c>
      <c r="I9" s="21">
        <v>3</v>
      </c>
      <c r="J9" s="147">
        <f t="shared" si="0"/>
        <v>3</v>
      </c>
      <c r="K9" s="195" t="str">
        <f t="shared" si="1"/>
        <v>Partial Baseline</v>
      </c>
      <c r="L9" s="21" t="s">
        <v>30</v>
      </c>
      <c r="M9" s="21"/>
      <c r="N9" s="21"/>
      <c r="O9" s="21"/>
      <c r="P9" s="21"/>
      <c r="Q9" s="91"/>
      <c r="R9" s="106">
        <v>0</v>
      </c>
      <c r="S9" s="107">
        <v>0</v>
      </c>
      <c r="T9" s="106">
        <v>0</v>
      </c>
      <c r="U9" s="107">
        <v>0</v>
      </c>
      <c r="V9" s="108">
        <v>0</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109"/>
      <c r="BS9" s="163"/>
      <c r="BT9" s="21" t="s">
        <v>548</v>
      </c>
      <c r="BU9" s="166" t="s">
        <v>547</v>
      </c>
      <c r="BV9" s="188">
        <f>H36-G36</f>
        <v>0.50000000000000022</v>
      </c>
      <c r="BW9" s="191">
        <v>4</v>
      </c>
      <c r="BX9" s="192" t="s">
        <v>719</v>
      </c>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row>
    <row r="10" spans="1:113" s="53" customFormat="1" ht="55.9" customHeight="1" thickBot="1" x14ac:dyDescent="0.25">
      <c r="C10" s="40" t="s">
        <v>26</v>
      </c>
      <c r="D10" s="21" t="s">
        <v>522</v>
      </c>
      <c r="E10" s="21" t="s">
        <v>531</v>
      </c>
      <c r="F10" s="21" t="s">
        <v>532</v>
      </c>
      <c r="G10" s="21">
        <v>1</v>
      </c>
      <c r="H10" s="21">
        <f>'CRF Workbook'!G43</f>
        <v>5</v>
      </c>
      <c r="I10" s="21">
        <v>3</v>
      </c>
      <c r="J10" s="147">
        <f t="shared" si="0"/>
        <v>-2</v>
      </c>
      <c r="K10" s="195" t="str">
        <f t="shared" si="1"/>
        <v>Advanced</v>
      </c>
      <c r="L10" s="21" t="s">
        <v>30</v>
      </c>
      <c r="M10" s="21"/>
      <c r="N10" s="21"/>
      <c r="O10" s="21"/>
      <c r="P10" s="21"/>
      <c r="Q10" s="91"/>
      <c r="R10" s="110">
        <v>0</v>
      </c>
      <c r="S10" s="110">
        <v>0</v>
      </c>
      <c r="T10" s="110">
        <v>0</v>
      </c>
      <c r="U10" s="110">
        <v>0</v>
      </c>
      <c r="V10" s="111">
        <v>0</v>
      </c>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109"/>
      <c r="BS10" s="163"/>
      <c r="BT10" s="21" t="s">
        <v>548</v>
      </c>
      <c r="BU10" s="166" t="s">
        <v>555</v>
      </c>
      <c r="BV10" s="188">
        <f>H43-G43</f>
        <v>0.39999999999999991</v>
      </c>
      <c r="BW10" s="193">
        <v>5</v>
      </c>
      <c r="BX10" s="194" t="s">
        <v>718</v>
      </c>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row>
    <row r="11" spans="1:113" s="53" customFormat="1" ht="55.9" customHeight="1" x14ac:dyDescent="0.2">
      <c r="B11" s="53" t="s">
        <v>45</v>
      </c>
      <c r="C11" s="40"/>
      <c r="D11" s="21"/>
      <c r="E11" s="66" t="s">
        <v>38</v>
      </c>
      <c r="F11" s="67"/>
      <c r="G11" s="22">
        <f>AVERAGE(G6:G10)</f>
        <v>0.6</v>
      </c>
      <c r="H11" s="22">
        <f>AVERAGE(H6:H10)</f>
        <v>3.4</v>
      </c>
      <c r="I11" s="22">
        <f>AVERAGE(I6:I10)</f>
        <v>3</v>
      </c>
      <c r="J11" s="148">
        <f>AVERAGE(J6:J10)</f>
        <v>-0.4</v>
      </c>
      <c r="K11" s="148"/>
      <c r="L11" s="23" t="s">
        <v>16</v>
      </c>
      <c r="M11" s="72"/>
      <c r="N11" s="73"/>
      <c r="O11" s="73"/>
      <c r="P11" s="74"/>
      <c r="Q11" s="112"/>
      <c r="R11" s="113">
        <v>0</v>
      </c>
      <c r="S11" s="113"/>
      <c r="T11" s="113"/>
      <c r="U11" s="113"/>
      <c r="V11" s="11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109"/>
      <c r="BS11" s="163"/>
      <c r="BT11" s="21" t="s">
        <v>548</v>
      </c>
      <c r="BU11" s="166" t="s">
        <v>561</v>
      </c>
      <c r="BV11" s="167">
        <f>H46-G46</f>
        <v>0</v>
      </c>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row>
    <row r="12" spans="1:113" s="53" customFormat="1" ht="55.9" customHeight="1" x14ac:dyDescent="0.2">
      <c r="C12" s="429" t="s">
        <v>533</v>
      </c>
      <c r="D12" s="430"/>
      <c r="E12" s="430"/>
      <c r="F12" s="430"/>
      <c r="G12" s="430"/>
      <c r="H12" s="430"/>
      <c r="I12" s="430"/>
      <c r="J12" s="430"/>
      <c r="K12" s="430"/>
      <c r="L12" s="430"/>
      <c r="M12" s="430"/>
      <c r="N12" s="430"/>
      <c r="O12" s="430"/>
      <c r="P12" s="431"/>
      <c r="Q12" s="91"/>
      <c r="R12" s="106">
        <v>0</v>
      </c>
      <c r="S12" s="107">
        <v>0</v>
      </c>
      <c r="T12" s="106">
        <v>0</v>
      </c>
      <c r="U12" s="107">
        <v>0</v>
      </c>
      <c r="V12" s="108">
        <v>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109"/>
      <c r="BS12" s="163"/>
      <c r="BT12" s="21" t="s">
        <v>548</v>
      </c>
      <c r="BU12" s="166" t="s">
        <v>563</v>
      </c>
      <c r="BV12" s="167">
        <f>H52-G52</f>
        <v>0</v>
      </c>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row>
    <row r="13" spans="1:113" s="53" customFormat="1" ht="58.9" customHeight="1" x14ac:dyDescent="0.2">
      <c r="C13" s="40" t="s">
        <v>26</v>
      </c>
      <c r="D13" s="21" t="s">
        <v>522</v>
      </c>
      <c r="E13" s="139" t="s">
        <v>534</v>
      </c>
      <c r="F13" s="142" t="s">
        <v>627</v>
      </c>
      <c r="G13" s="21">
        <v>4</v>
      </c>
      <c r="H13" s="21">
        <f>'CRF Workbook'!G52</f>
        <v>5</v>
      </c>
      <c r="I13" s="21">
        <v>3</v>
      </c>
      <c r="J13" s="21">
        <f>I13-H13</f>
        <v>-2</v>
      </c>
      <c r="K13" s="195" t="str">
        <f t="shared" ref="K13:K16" si="2">VLOOKUP(H13,$BW$5:$BX$10,2,TRUE)</f>
        <v>Advanced</v>
      </c>
      <c r="L13" s="21" t="s">
        <v>30</v>
      </c>
      <c r="M13" s="21"/>
      <c r="N13" s="21"/>
      <c r="O13" s="21"/>
      <c r="P13" s="21"/>
      <c r="Q13" s="91"/>
      <c r="R13" s="110">
        <v>0</v>
      </c>
      <c r="S13" s="110">
        <v>0</v>
      </c>
      <c r="T13" s="110">
        <v>0</v>
      </c>
      <c r="U13" s="110">
        <v>0</v>
      </c>
      <c r="V13" s="111">
        <v>0</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109"/>
      <c r="BS13" s="163"/>
      <c r="BT13" s="21" t="s">
        <v>548</v>
      </c>
      <c r="BU13" s="166" t="s">
        <v>568</v>
      </c>
      <c r="BV13" s="167">
        <f>H58-G58</f>
        <v>0.75</v>
      </c>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row>
    <row r="14" spans="1:113" s="53" customFormat="1" ht="45" x14ac:dyDescent="0.2">
      <c r="B14" s="53" t="s">
        <v>52</v>
      </c>
      <c r="C14" s="40" t="s">
        <v>26</v>
      </c>
      <c r="D14" s="21" t="s">
        <v>522</v>
      </c>
      <c r="E14" s="139" t="s">
        <v>535</v>
      </c>
      <c r="F14" s="142" t="s">
        <v>628</v>
      </c>
      <c r="G14" s="21">
        <v>1</v>
      </c>
      <c r="H14" s="21">
        <f>'CRF Workbook'!G60</f>
        <v>5</v>
      </c>
      <c r="I14" s="21">
        <v>3</v>
      </c>
      <c r="J14" s="21">
        <f t="shared" ref="J14:J16" si="3">I14-H14</f>
        <v>-2</v>
      </c>
      <c r="K14" s="195" t="str">
        <f t="shared" si="2"/>
        <v>Advanced</v>
      </c>
      <c r="L14" s="21" t="s">
        <v>30</v>
      </c>
      <c r="M14" s="21"/>
      <c r="N14" s="21"/>
      <c r="O14" s="21"/>
      <c r="P14" s="21"/>
      <c r="Q14" s="112"/>
      <c r="R14" s="113">
        <v>0</v>
      </c>
      <c r="S14" s="113"/>
      <c r="T14" s="113"/>
      <c r="U14" s="113"/>
      <c r="V14" s="11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109"/>
      <c r="BS14" s="163"/>
      <c r="BT14" s="21" t="s">
        <v>548</v>
      </c>
      <c r="BU14" s="166" t="s">
        <v>573</v>
      </c>
      <c r="BV14" s="167">
        <f>H62-G62</f>
        <v>0.5</v>
      </c>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row>
    <row r="15" spans="1:113" s="53" customFormat="1" ht="55.9" customHeight="1" x14ac:dyDescent="0.2">
      <c r="C15" s="40" t="s">
        <v>26</v>
      </c>
      <c r="D15" s="21" t="s">
        <v>522</v>
      </c>
      <c r="E15" s="140" t="s">
        <v>536</v>
      </c>
      <c r="F15" s="142" t="s">
        <v>629</v>
      </c>
      <c r="G15" s="21">
        <v>3</v>
      </c>
      <c r="H15" s="21">
        <f>'CRF Workbook'!G68</f>
        <v>4</v>
      </c>
      <c r="I15" s="21">
        <v>3</v>
      </c>
      <c r="J15" s="21">
        <f t="shared" si="3"/>
        <v>-1</v>
      </c>
      <c r="K15" s="195" t="str">
        <f t="shared" si="2"/>
        <v>Partial Advanced</v>
      </c>
      <c r="L15" s="21" t="s">
        <v>30</v>
      </c>
      <c r="M15" s="21"/>
      <c r="N15" s="21"/>
      <c r="O15" s="21"/>
      <c r="P15" s="21"/>
      <c r="Q15" s="91"/>
      <c r="R15" s="106">
        <v>0</v>
      </c>
      <c r="S15" s="107">
        <v>0</v>
      </c>
      <c r="T15" s="106">
        <v>0</v>
      </c>
      <c r="U15" s="107">
        <v>0</v>
      </c>
      <c r="V15" s="108">
        <v>0</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109"/>
      <c r="BS15" s="163"/>
      <c r="BT15" s="21" t="s">
        <v>548</v>
      </c>
      <c r="BU15" s="166" t="s">
        <v>576</v>
      </c>
      <c r="BV15" s="167">
        <f>H66-G66</f>
        <v>0</v>
      </c>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row>
    <row r="16" spans="1:113" s="53" customFormat="1" ht="61.9" customHeight="1" x14ac:dyDescent="0.2">
      <c r="C16" s="40" t="s">
        <v>26</v>
      </c>
      <c r="D16" s="21" t="s">
        <v>522</v>
      </c>
      <c r="E16" s="141" t="s">
        <v>537</v>
      </c>
      <c r="F16" s="142" t="s">
        <v>630</v>
      </c>
      <c r="G16" s="21">
        <v>4</v>
      </c>
      <c r="H16" s="21">
        <f>'CRF Workbook'!G78</f>
        <v>4</v>
      </c>
      <c r="I16" s="21">
        <v>3</v>
      </c>
      <c r="J16" s="21">
        <f t="shared" si="3"/>
        <v>-1</v>
      </c>
      <c r="K16" s="195" t="str">
        <f t="shared" si="2"/>
        <v>Partial Advanced</v>
      </c>
      <c r="L16" s="21" t="s">
        <v>30</v>
      </c>
      <c r="M16" s="21"/>
      <c r="N16" s="21"/>
      <c r="O16" s="21"/>
      <c r="P16" s="21"/>
      <c r="Q16" s="91"/>
      <c r="R16" s="110">
        <v>0</v>
      </c>
      <c r="S16" s="110">
        <v>0</v>
      </c>
      <c r="T16" s="110">
        <v>0</v>
      </c>
      <c r="U16" s="110">
        <v>0</v>
      </c>
      <c r="V16" s="111">
        <v>0</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109"/>
      <c r="BS16" s="163"/>
      <c r="BT16" s="21" t="s">
        <v>548</v>
      </c>
      <c r="BU16" s="166" t="s">
        <v>579</v>
      </c>
      <c r="BV16" s="167">
        <f>H72-G72</f>
        <v>0</v>
      </c>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row>
    <row r="17" spans="3:74" s="53" customFormat="1" ht="55.9" customHeight="1" x14ac:dyDescent="0.2">
      <c r="C17" s="40"/>
      <c r="D17" s="21"/>
      <c r="E17" s="66" t="s">
        <v>38</v>
      </c>
      <c r="F17" s="67"/>
      <c r="G17" s="22">
        <f>AVERAGE(G13:G16)</f>
        <v>3</v>
      </c>
      <c r="H17" s="22">
        <f>AVERAGE(H13:H16)</f>
        <v>4.5</v>
      </c>
      <c r="I17" s="22">
        <f>AVERAGE(I13:I16)</f>
        <v>3</v>
      </c>
      <c r="J17" s="22">
        <f>AVERAGE(J13:J16)</f>
        <v>-1.5</v>
      </c>
      <c r="K17" s="22"/>
      <c r="L17" s="23" t="s">
        <v>16</v>
      </c>
      <c r="M17" s="72"/>
      <c r="N17" s="73"/>
      <c r="O17" s="73"/>
      <c r="P17" s="74"/>
      <c r="Q17" s="91"/>
      <c r="R17" s="110">
        <v>0</v>
      </c>
      <c r="S17" s="110">
        <v>0</v>
      </c>
      <c r="T17" s="110">
        <v>0</v>
      </c>
      <c r="U17" s="110">
        <v>0</v>
      </c>
      <c r="V17" s="111">
        <v>0</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109"/>
      <c r="BT17" s="21" t="s">
        <v>548</v>
      </c>
      <c r="BU17" s="149" t="s">
        <v>584</v>
      </c>
      <c r="BV17" s="149">
        <f>H84-G84</f>
        <v>0.4444444444444442</v>
      </c>
    </row>
    <row r="18" spans="3:74" s="53" customFormat="1" ht="55.9" customHeight="1" x14ac:dyDescent="0.2">
      <c r="C18" s="429" t="s">
        <v>538</v>
      </c>
      <c r="D18" s="430"/>
      <c r="E18" s="430"/>
      <c r="F18" s="430"/>
      <c r="G18" s="430"/>
      <c r="H18" s="430"/>
      <c r="I18" s="430"/>
      <c r="J18" s="430"/>
      <c r="K18" s="430"/>
      <c r="L18" s="430"/>
      <c r="M18" s="430"/>
      <c r="N18" s="430"/>
      <c r="O18" s="430"/>
      <c r="P18" s="431"/>
      <c r="Q18" s="91"/>
      <c r="R18" s="110">
        <v>0</v>
      </c>
      <c r="S18" s="110">
        <v>0</v>
      </c>
      <c r="T18" s="110">
        <v>0</v>
      </c>
      <c r="U18" s="110">
        <v>0</v>
      </c>
      <c r="V18" s="111">
        <v>0</v>
      </c>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109"/>
      <c r="BT18" s="21" t="s">
        <v>548</v>
      </c>
      <c r="BU18" s="149" t="s">
        <v>595</v>
      </c>
      <c r="BV18" s="150">
        <f>H96-G96</f>
        <v>0.80000000000000027</v>
      </c>
    </row>
    <row r="19" spans="3:74" s="53" customFormat="1" ht="60" customHeight="1" x14ac:dyDescent="0.2">
      <c r="C19" s="40" t="s">
        <v>26</v>
      </c>
      <c r="D19" s="21" t="s">
        <v>522</v>
      </c>
      <c r="E19" s="89" t="s">
        <v>539</v>
      </c>
      <c r="F19" s="142" t="s">
        <v>631</v>
      </c>
      <c r="G19" s="21">
        <v>1</v>
      </c>
      <c r="H19" s="21">
        <f>'CRF Workbook'!G86</f>
        <v>5</v>
      </c>
      <c r="I19" s="21">
        <v>3</v>
      </c>
      <c r="J19" s="21">
        <f t="shared" ref="J19:J22" si="4">I19-H19</f>
        <v>-2</v>
      </c>
      <c r="K19" s="195" t="str">
        <f t="shared" ref="K19:K22" si="5">VLOOKUP(H19,$BW$5:$BX$10,2,TRUE)</f>
        <v>Advanced</v>
      </c>
      <c r="L19" s="21" t="s">
        <v>30</v>
      </c>
      <c r="M19" s="21"/>
      <c r="N19" s="21"/>
      <c r="O19" s="21"/>
      <c r="P19" s="21"/>
      <c r="Q19" s="91"/>
      <c r="R19" s="110">
        <v>0</v>
      </c>
      <c r="S19" s="110">
        <v>0</v>
      </c>
      <c r="T19" s="110">
        <v>0</v>
      </c>
      <c r="U19" s="110">
        <v>0</v>
      </c>
      <c r="V19" s="111">
        <v>0</v>
      </c>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109"/>
      <c r="BT19" s="21" t="s">
        <v>607</v>
      </c>
      <c r="BU19" s="149" t="s">
        <v>606</v>
      </c>
      <c r="BV19" s="150">
        <f>H100-G100</f>
        <v>0</v>
      </c>
    </row>
    <row r="20" spans="3:74" s="53" customFormat="1" ht="64.150000000000006" customHeight="1" x14ac:dyDescent="0.2">
      <c r="C20" s="40" t="s">
        <v>26</v>
      </c>
      <c r="D20" s="21" t="s">
        <v>522</v>
      </c>
      <c r="E20" s="89" t="s">
        <v>540</v>
      </c>
      <c r="F20" s="142" t="s">
        <v>632</v>
      </c>
      <c r="G20" s="21">
        <v>1</v>
      </c>
      <c r="H20" s="21">
        <f>'CRF Workbook'!G91</f>
        <v>5</v>
      </c>
      <c r="I20" s="21">
        <v>3</v>
      </c>
      <c r="J20" s="21">
        <f t="shared" si="4"/>
        <v>-2</v>
      </c>
      <c r="K20" s="195" t="str">
        <f t="shared" si="5"/>
        <v>Advanced</v>
      </c>
      <c r="L20" s="21" t="s">
        <v>30</v>
      </c>
      <c r="M20" s="21"/>
      <c r="N20" s="21"/>
      <c r="O20" s="21"/>
      <c r="P20" s="21"/>
      <c r="Q20" s="91"/>
      <c r="R20" s="110">
        <v>0</v>
      </c>
      <c r="S20" s="110">
        <v>0</v>
      </c>
      <c r="T20" s="110">
        <v>0</v>
      </c>
      <c r="U20" s="110">
        <v>0</v>
      </c>
      <c r="V20" s="111">
        <v>0</v>
      </c>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109"/>
      <c r="BT20" s="21" t="s">
        <v>611</v>
      </c>
      <c r="BU20" s="149" t="s">
        <v>610</v>
      </c>
      <c r="BV20" s="150">
        <f>H106-G106</f>
        <v>2</v>
      </c>
    </row>
    <row r="21" spans="3:74" s="53" customFormat="1" ht="85.15" customHeight="1" x14ac:dyDescent="0.2">
      <c r="C21" s="40" t="s">
        <v>26</v>
      </c>
      <c r="D21" s="21" t="s">
        <v>522</v>
      </c>
      <c r="E21" s="89" t="s">
        <v>541</v>
      </c>
      <c r="F21" s="142" t="s">
        <v>633</v>
      </c>
      <c r="G21" s="21">
        <v>4</v>
      </c>
      <c r="H21" s="21">
        <f>'CRF Workbook'!G100</f>
        <v>4</v>
      </c>
      <c r="I21" s="21">
        <v>3</v>
      </c>
      <c r="J21" s="21">
        <f t="shared" si="4"/>
        <v>-1</v>
      </c>
      <c r="K21" s="195" t="str">
        <f t="shared" si="5"/>
        <v>Partial Advanced</v>
      </c>
      <c r="L21" s="21" t="s">
        <v>30</v>
      </c>
      <c r="M21" s="21"/>
      <c r="N21" s="21"/>
      <c r="O21" s="21"/>
      <c r="P21" s="21"/>
      <c r="Q21" s="91"/>
      <c r="R21" s="110">
        <v>0</v>
      </c>
      <c r="S21" s="110">
        <v>0</v>
      </c>
      <c r="T21" s="110">
        <v>0</v>
      </c>
      <c r="U21" s="110">
        <v>0</v>
      </c>
      <c r="V21" s="111">
        <v>0</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109"/>
      <c r="BT21" s="21" t="s">
        <v>611</v>
      </c>
      <c r="BU21" s="149" t="s">
        <v>616</v>
      </c>
      <c r="BV21" s="150">
        <f>H114-G114</f>
        <v>0.66666666666666652</v>
      </c>
    </row>
    <row r="22" spans="3:74" s="53" customFormat="1" ht="55.9" customHeight="1" x14ac:dyDescent="0.2">
      <c r="C22" s="40" t="s">
        <v>26</v>
      </c>
      <c r="D22" s="21" t="s">
        <v>522</v>
      </c>
      <c r="E22" s="90" t="s">
        <v>542</v>
      </c>
      <c r="F22" s="142" t="s">
        <v>634</v>
      </c>
      <c r="G22" s="21">
        <v>1</v>
      </c>
      <c r="H22" s="21">
        <f>'CRF Workbook'!G106</f>
        <v>5</v>
      </c>
      <c r="I22" s="21">
        <v>3</v>
      </c>
      <c r="J22" s="21">
        <f t="shared" si="4"/>
        <v>-2</v>
      </c>
      <c r="K22" s="195" t="str">
        <f t="shared" si="5"/>
        <v>Advanced</v>
      </c>
      <c r="L22" s="21" t="s">
        <v>30</v>
      </c>
      <c r="M22" s="21"/>
      <c r="N22" s="21"/>
      <c r="O22" s="21"/>
      <c r="P22" s="21"/>
      <c r="Q22" s="91"/>
      <c r="R22" s="110">
        <v>0</v>
      </c>
      <c r="S22" s="110">
        <v>0</v>
      </c>
      <c r="T22" s="110">
        <v>0</v>
      </c>
      <c r="U22" s="110">
        <v>0</v>
      </c>
      <c r="V22" s="111">
        <v>0</v>
      </c>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109"/>
      <c r="BT22" s="149" t="s">
        <v>700</v>
      </c>
      <c r="BU22" s="151" t="s">
        <v>701</v>
      </c>
      <c r="BV22" s="152">
        <f>H115-G115</f>
        <v>0.85526315789473717</v>
      </c>
    </row>
    <row r="23" spans="3:74" s="53" customFormat="1" ht="55.9" customHeight="1" x14ac:dyDescent="0.2">
      <c r="C23" s="40"/>
      <c r="D23" s="21"/>
      <c r="E23" s="66" t="s">
        <v>38</v>
      </c>
      <c r="F23" s="67"/>
      <c r="G23" s="22">
        <f>AVERAGE(G19:G22)</f>
        <v>1.75</v>
      </c>
      <c r="H23" s="22">
        <f>AVERAGE(H19:H22)</f>
        <v>4.75</v>
      </c>
      <c r="I23" s="22">
        <f>AVERAGE(I19:I22)</f>
        <v>3</v>
      </c>
      <c r="J23" s="22">
        <f>AVERAGE(J19:J22)</f>
        <v>-1.75</v>
      </c>
      <c r="K23" s="22"/>
      <c r="L23" s="23" t="s">
        <v>16</v>
      </c>
      <c r="M23" s="72"/>
      <c r="N23" s="73"/>
      <c r="O23" s="73"/>
      <c r="P23" s="74"/>
      <c r="Q23" s="91"/>
      <c r="R23" s="110">
        <v>0</v>
      </c>
      <c r="S23" s="110">
        <v>0</v>
      </c>
      <c r="T23" s="110">
        <v>0</v>
      </c>
      <c r="U23" s="110">
        <v>0</v>
      </c>
      <c r="V23" s="111">
        <v>0</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109"/>
    </row>
    <row r="24" spans="3:74" s="53" customFormat="1" ht="55.9" customHeight="1" x14ac:dyDescent="0.2">
      <c r="C24" s="429" t="s">
        <v>543</v>
      </c>
      <c r="D24" s="430"/>
      <c r="E24" s="430"/>
      <c r="F24" s="430"/>
      <c r="G24" s="430"/>
      <c r="H24" s="430"/>
      <c r="I24" s="430"/>
      <c r="J24" s="430"/>
      <c r="K24" s="430"/>
      <c r="L24" s="430"/>
      <c r="M24" s="430"/>
      <c r="N24" s="430"/>
      <c r="O24" s="430"/>
      <c r="P24" s="431"/>
      <c r="Q24" s="91"/>
      <c r="R24" s="110">
        <v>0</v>
      </c>
      <c r="S24" s="110">
        <v>0</v>
      </c>
      <c r="T24" s="110">
        <v>0</v>
      </c>
      <c r="U24" s="110">
        <v>0</v>
      </c>
      <c r="V24" s="111">
        <v>0</v>
      </c>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109"/>
    </row>
    <row r="25" spans="3:74" s="53" customFormat="1" ht="55.9" customHeight="1" x14ac:dyDescent="0.2">
      <c r="C25" s="40" t="s">
        <v>26</v>
      </c>
      <c r="D25" s="21" t="s">
        <v>522</v>
      </c>
      <c r="E25" s="139" t="s">
        <v>544</v>
      </c>
      <c r="F25" s="144" t="s">
        <v>635</v>
      </c>
      <c r="G25" s="21">
        <v>4</v>
      </c>
      <c r="H25" s="21">
        <f>'CRF Workbook'!G118</f>
        <v>4</v>
      </c>
      <c r="I25" s="21">
        <v>3</v>
      </c>
      <c r="J25" s="21">
        <f t="shared" ref="J25:J27" si="6">I25-H25</f>
        <v>-1</v>
      </c>
      <c r="K25" s="195" t="str">
        <f t="shared" ref="K25:K27" si="7">VLOOKUP(H25,$BW$5:$BX$10,2,TRUE)</f>
        <v>Partial Advanced</v>
      </c>
      <c r="L25" s="21" t="s">
        <v>30</v>
      </c>
      <c r="M25" s="21"/>
      <c r="N25" s="21"/>
      <c r="O25" s="21"/>
      <c r="P25" s="21"/>
      <c r="Q25" s="91"/>
      <c r="R25" s="110">
        <v>0</v>
      </c>
      <c r="S25" s="110">
        <v>0</v>
      </c>
      <c r="T25" s="110">
        <v>0</v>
      </c>
      <c r="U25" s="110">
        <v>0</v>
      </c>
      <c r="V25" s="111">
        <v>0</v>
      </c>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109"/>
    </row>
    <row r="26" spans="3:74" s="53" customFormat="1" ht="55.9" customHeight="1" x14ac:dyDescent="0.2">
      <c r="C26" s="40" t="s">
        <v>26</v>
      </c>
      <c r="D26" s="21" t="s">
        <v>522</v>
      </c>
      <c r="E26" s="139" t="s">
        <v>545</v>
      </c>
      <c r="F26" s="144" t="s">
        <v>636</v>
      </c>
      <c r="G26" s="21">
        <v>5</v>
      </c>
      <c r="H26" s="21">
        <f>'CRF Workbook'!G124</f>
        <v>5</v>
      </c>
      <c r="I26" s="21">
        <v>3</v>
      </c>
      <c r="J26" s="21">
        <f t="shared" si="6"/>
        <v>-2</v>
      </c>
      <c r="K26" s="195" t="str">
        <f t="shared" si="7"/>
        <v>Advanced</v>
      </c>
      <c r="L26" s="21" t="s">
        <v>30</v>
      </c>
      <c r="M26" s="21"/>
      <c r="N26" s="21"/>
      <c r="O26" s="21"/>
      <c r="P26" s="21"/>
      <c r="Q26" s="91"/>
      <c r="R26" s="110">
        <v>0</v>
      </c>
      <c r="S26" s="110">
        <v>0</v>
      </c>
      <c r="T26" s="110">
        <v>0</v>
      </c>
      <c r="U26" s="110">
        <v>0</v>
      </c>
      <c r="V26" s="111">
        <v>0</v>
      </c>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109"/>
    </row>
    <row r="27" spans="3:74" s="53" customFormat="1" ht="55.9" customHeight="1" x14ac:dyDescent="0.2">
      <c r="C27" s="40" t="s">
        <v>26</v>
      </c>
      <c r="D27" s="21" t="s">
        <v>522</v>
      </c>
      <c r="E27" s="143" t="s">
        <v>546</v>
      </c>
      <c r="F27" s="144" t="s">
        <v>637</v>
      </c>
      <c r="G27" s="21">
        <v>5</v>
      </c>
      <c r="H27" s="21">
        <f>'CRF Workbook'!G131</f>
        <v>5</v>
      </c>
      <c r="I27" s="21">
        <v>3</v>
      </c>
      <c r="J27" s="21">
        <f t="shared" si="6"/>
        <v>-2</v>
      </c>
      <c r="K27" s="195" t="str">
        <f t="shared" si="7"/>
        <v>Advanced</v>
      </c>
      <c r="L27" s="21" t="s">
        <v>30</v>
      </c>
      <c r="M27" s="21"/>
      <c r="N27" s="21"/>
      <c r="O27" s="21"/>
      <c r="P27" s="21"/>
      <c r="Q27" s="91"/>
      <c r="R27" s="110">
        <v>0</v>
      </c>
      <c r="S27" s="110">
        <v>0</v>
      </c>
      <c r="T27" s="110">
        <v>0</v>
      </c>
      <c r="U27" s="110">
        <v>0</v>
      </c>
      <c r="V27" s="111">
        <v>0</v>
      </c>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109"/>
    </row>
    <row r="28" spans="3:74" s="53" customFormat="1" ht="55.9" customHeight="1" x14ac:dyDescent="0.2">
      <c r="C28" s="40"/>
      <c r="D28" s="21"/>
      <c r="E28" s="66" t="s">
        <v>38</v>
      </c>
      <c r="F28" s="67"/>
      <c r="G28" s="22">
        <f>AVERAGE(G25:G27)</f>
        <v>4.666666666666667</v>
      </c>
      <c r="H28" s="22">
        <f>AVERAGE(H25:H27)</f>
        <v>4.666666666666667</v>
      </c>
      <c r="I28" s="22">
        <f>AVERAGE(I25:I27)</f>
        <v>3</v>
      </c>
      <c r="J28" s="22">
        <f>AVERAGE(J25:J27)</f>
        <v>-1.6666666666666667</v>
      </c>
      <c r="K28" s="22"/>
      <c r="L28" s="23" t="s">
        <v>16</v>
      </c>
      <c r="M28" s="72"/>
      <c r="N28" s="73"/>
      <c r="O28" s="73"/>
      <c r="P28" s="74"/>
      <c r="Q28" s="91"/>
      <c r="R28" s="110">
        <v>0</v>
      </c>
      <c r="S28" s="110">
        <v>0</v>
      </c>
      <c r="T28" s="110">
        <v>0</v>
      </c>
      <c r="U28" s="110">
        <v>0</v>
      </c>
      <c r="V28" s="111">
        <v>0</v>
      </c>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109"/>
    </row>
    <row r="29" spans="3:74" s="53" customFormat="1" ht="55.9" customHeight="1" x14ac:dyDescent="0.2">
      <c r="C29" s="429" t="s">
        <v>547</v>
      </c>
      <c r="D29" s="430"/>
      <c r="E29" s="430"/>
      <c r="F29" s="430"/>
      <c r="G29" s="430"/>
      <c r="H29" s="430"/>
      <c r="I29" s="430"/>
      <c r="J29" s="430"/>
      <c r="K29" s="430"/>
      <c r="L29" s="430"/>
      <c r="M29" s="430"/>
      <c r="N29" s="430"/>
      <c r="O29" s="430"/>
      <c r="P29" s="431"/>
      <c r="Q29" s="91"/>
      <c r="R29" s="110">
        <v>0</v>
      </c>
      <c r="S29" s="110">
        <v>0</v>
      </c>
      <c r="T29" s="110">
        <v>0</v>
      </c>
      <c r="U29" s="110">
        <v>0</v>
      </c>
      <c r="V29" s="111">
        <v>0</v>
      </c>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09"/>
    </row>
    <row r="30" spans="3:74" s="53" customFormat="1" ht="55.9" customHeight="1" x14ac:dyDescent="0.2">
      <c r="C30" s="40" t="s">
        <v>26</v>
      </c>
      <c r="D30" s="21" t="s">
        <v>548</v>
      </c>
      <c r="E30" s="139" t="s">
        <v>549</v>
      </c>
      <c r="F30" s="144" t="s">
        <v>638</v>
      </c>
      <c r="G30" s="21">
        <v>1</v>
      </c>
      <c r="H30" s="21">
        <f>'CRF Workbook'!G143</f>
        <v>2</v>
      </c>
      <c r="I30" s="21">
        <v>3</v>
      </c>
      <c r="J30" s="21">
        <f t="shared" ref="J30:J35" si="8">I30-H30</f>
        <v>1</v>
      </c>
      <c r="K30" s="195" t="str">
        <f t="shared" ref="K30:K35" si="9">VLOOKUP(H30,$BW$5:$BX$10,2,TRUE)</f>
        <v>Partial Target</v>
      </c>
      <c r="L30" s="21" t="s">
        <v>30</v>
      </c>
      <c r="M30" s="21"/>
      <c r="N30" s="21"/>
      <c r="O30" s="21"/>
      <c r="P30" s="21"/>
      <c r="Q30" s="91"/>
      <c r="R30" s="110">
        <v>0</v>
      </c>
      <c r="S30" s="110">
        <v>0</v>
      </c>
      <c r="T30" s="110">
        <v>0</v>
      </c>
      <c r="U30" s="110">
        <v>0</v>
      </c>
      <c r="V30" s="111">
        <v>0</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09"/>
    </row>
    <row r="31" spans="3:74" s="53" customFormat="1" ht="55.9" customHeight="1" x14ac:dyDescent="0.2">
      <c r="C31" s="40" t="s">
        <v>26</v>
      </c>
      <c r="D31" s="21" t="s">
        <v>548</v>
      </c>
      <c r="E31" s="139" t="s">
        <v>550</v>
      </c>
      <c r="F31" s="144" t="s">
        <v>639</v>
      </c>
      <c r="G31" s="21">
        <v>2</v>
      </c>
      <c r="H31" s="21">
        <f>'CRF Workbook'!G153</f>
        <v>2</v>
      </c>
      <c r="I31" s="21">
        <v>3</v>
      </c>
      <c r="J31" s="21">
        <f t="shared" si="8"/>
        <v>1</v>
      </c>
      <c r="K31" s="195" t="str">
        <f t="shared" si="9"/>
        <v>Partial Target</v>
      </c>
      <c r="L31" s="21" t="s">
        <v>30</v>
      </c>
      <c r="M31" s="21"/>
      <c r="N31" s="21"/>
      <c r="O31" s="21"/>
      <c r="P31" s="21"/>
      <c r="Q31" s="91"/>
      <c r="R31" s="110">
        <v>0</v>
      </c>
      <c r="S31" s="110">
        <v>0</v>
      </c>
      <c r="T31" s="110">
        <v>0</v>
      </c>
      <c r="U31" s="110">
        <v>0</v>
      </c>
      <c r="V31" s="111">
        <v>0</v>
      </c>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09"/>
    </row>
    <row r="32" spans="3:74" s="53" customFormat="1" ht="55.9" customHeight="1" x14ac:dyDescent="0.2">
      <c r="C32" s="40" t="s">
        <v>26</v>
      </c>
      <c r="D32" s="21" t="s">
        <v>548</v>
      </c>
      <c r="E32" s="139" t="s">
        <v>551</v>
      </c>
      <c r="F32" s="144" t="s">
        <v>640</v>
      </c>
      <c r="G32" s="21">
        <v>3</v>
      </c>
      <c r="H32" s="21">
        <f>'CRF Workbook'!G160</f>
        <v>4</v>
      </c>
      <c r="I32" s="21">
        <v>3</v>
      </c>
      <c r="J32" s="21">
        <f t="shared" si="8"/>
        <v>-1</v>
      </c>
      <c r="K32" s="195" t="str">
        <f t="shared" si="9"/>
        <v>Partial Advanced</v>
      </c>
      <c r="L32" s="21" t="s">
        <v>30</v>
      </c>
      <c r="M32" s="21"/>
      <c r="N32" s="21"/>
      <c r="O32" s="21"/>
      <c r="P32" s="21"/>
      <c r="Q32" s="91"/>
      <c r="R32" s="110">
        <v>0</v>
      </c>
      <c r="S32" s="110">
        <v>0</v>
      </c>
      <c r="T32" s="110">
        <v>0</v>
      </c>
      <c r="U32" s="110">
        <v>0</v>
      </c>
      <c r="V32" s="111">
        <v>0</v>
      </c>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109"/>
    </row>
    <row r="33" spans="2:70" s="53" customFormat="1" ht="55.9" customHeight="1" x14ac:dyDescent="0.2">
      <c r="C33" s="40" t="s">
        <v>26</v>
      </c>
      <c r="D33" s="21" t="s">
        <v>548</v>
      </c>
      <c r="E33" s="139" t="s">
        <v>552</v>
      </c>
      <c r="F33" s="144" t="s">
        <v>641</v>
      </c>
      <c r="G33" s="21">
        <v>1</v>
      </c>
      <c r="H33" s="21">
        <f>'CRF Workbook'!G166</f>
        <v>1</v>
      </c>
      <c r="I33" s="21">
        <v>3</v>
      </c>
      <c r="J33" s="21">
        <f t="shared" si="8"/>
        <v>2</v>
      </c>
      <c r="K33" s="195" t="str">
        <f t="shared" si="9"/>
        <v>Baseline</v>
      </c>
      <c r="L33" s="21" t="s">
        <v>30</v>
      </c>
      <c r="M33" s="21"/>
      <c r="N33" s="21"/>
      <c r="O33" s="21"/>
      <c r="P33" s="21"/>
      <c r="Q33" s="91"/>
      <c r="R33" s="110">
        <v>0</v>
      </c>
      <c r="S33" s="110">
        <v>0</v>
      </c>
      <c r="T33" s="110">
        <v>0</v>
      </c>
      <c r="U33" s="110">
        <v>0</v>
      </c>
      <c r="V33" s="111">
        <v>0</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109"/>
    </row>
    <row r="34" spans="2:70" s="53" customFormat="1" ht="55.9" customHeight="1" x14ac:dyDescent="0.2">
      <c r="C34" s="40" t="s">
        <v>26</v>
      </c>
      <c r="D34" s="21" t="s">
        <v>548</v>
      </c>
      <c r="E34" s="139" t="s">
        <v>553</v>
      </c>
      <c r="F34" s="144" t="s">
        <v>642</v>
      </c>
      <c r="G34" s="21">
        <v>1</v>
      </c>
      <c r="H34" s="21">
        <f>'CRF Workbook'!G173</f>
        <v>1</v>
      </c>
      <c r="I34" s="21">
        <v>3</v>
      </c>
      <c r="J34" s="21">
        <f t="shared" si="8"/>
        <v>2</v>
      </c>
      <c r="K34" s="195" t="str">
        <f t="shared" si="9"/>
        <v>Baseline</v>
      </c>
      <c r="L34" s="21" t="s">
        <v>30</v>
      </c>
      <c r="M34" s="21"/>
      <c r="N34" s="21"/>
      <c r="O34" s="21"/>
      <c r="P34" s="21"/>
      <c r="Q34" s="91"/>
      <c r="R34" s="110">
        <v>0</v>
      </c>
      <c r="S34" s="110">
        <v>0</v>
      </c>
      <c r="T34" s="110">
        <v>0</v>
      </c>
      <c r="U34" s="110">
        <v>0</v>
      </c>
      <c r="V34" s="111">
        <v>0</v>
      </c>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109"/>
    </row>
    <row r="35" spans="2:70" s="53" customFormat="1" ht="55.9" customHeight="1" x14ac:dyDescent="0.2">
      <c r="B35" s="53" t="s">
        <v>104</v>
      </c>
      <c r="C35" s="40" t="s">
        <v>26</v>
      </c>
      <c r="D35" s="21" t="s">
        <v>548</v>
      </c>
      <c r="E35" s="143" t="s">
        <v>554</v>
      </c>
      <c r="F35" s="144" t="s">
        <v>643</v>
      </c>
      <c r="G35" s="21">
        <v>3</v>
      </c>
      <c r="H35" s="21">
        <f>'CRF Workbook'!G184</f>
        <v>4</v>
      </c>
      <c r="I35" s="21">
        <v>3</v>
      </c>
      <c r="J35" s="21">
        <f t="shared" si="8"/>
        <v>-1</v>
      </c>
      <c r="K35" s="195" t="str">
        <f t="shared" si="9"/>
        <v>Partial Advanced</v>
      </c>
      <c r="L35" s="21" t="s">
        <v>30</v>
      </c>
      <c r="M35" s="21"/>
      <c r="N35" s="21"/>
      <c r="O35" s="21"/>
      <c r="P35" s="21"/>
      <c r="Q35" s="112"/>
      <c r="R35" s="114">
        <v>0</v>
      </c>
      <c r="S35" s="115"/>
      <c r="T35" s="115"/>
      <c r="U35" s="115"/>
      <c r="V35" s="116"/>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109"/>
    </row>
    <row r="36" spans="2:70" s="53" customFormat="1" ht="55.9" customHeight="1" x14ac:dyDescent="0.2">
      <c r="C36" s="40"/>
      <c r="D36" s="21"/>
      <c r="E36" s="66" t="s">
        <v>38</v>
      </c>
      <c r="F36" s="67"/>
      <c r="G36" s="22">
        <f>AVERAGE(G30:G35)</f>
        <v>1.8333333333333333</v>
      </c>
      <c r="H36" s="22">
        <f>AVERAGE(H30:H35)</f>
        <v>2.3333333333333335</v>
      </c>
      <c r="I36" s="22">
        <f>AVERAGE(I30:I35)</f>
        <v>3</v>
      </c>
      <c r="J36" s="22">
        <f>AVERAGE(J30:J35)</f>
        <v>0.66666666666666663</v>
      </c>
      <c r="K36" s="22"/>
      <c r="L36" s="23" t="s">
        <v>16</v>
      </c>
      <c r="M36" s="72"/>
      <c r="N36" s="73"/>
      <c r="O36" s="73"/>
      <c r="P36" s="74"/>
      <c r="Q36" s="91"/>
      <c r="R36" s="106">
        <v>0</v>
      </c>
      <c r="S36" s="107">
        <v>0</v>
      </c>
      <c r="T36" s="106">
        <v>0</v>
      </c>
      <c r="U36" s="107">
        <v>0</v>
      </c>
      <c r="V36" s="108">
        <v>0</v>
      </c>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109"/>
    </row>
    <row r="37" spans="2:70" s="53" customFormat="1" ht="55.9" customHeight="1" x14ac:dyDescent="0.2">
      <c r="C37" s="435" t="s">
        <v>555</v>
      </c>
      <c r="D37" s="436"/>
      <c r="E37" s="436"/>
      <c r="F37" s="436"/>
      <c r="G37" s="436"/>
      <c r="H37" s="436"/>
      <c r="I37" s="436"/>
      <c r="J37" s="436"/>
      <c r="K37" s="436"/>
      <c r="L37" s="436"/>
      <c r="M37" s="436"/>
      <c r="N37" s="436"/>
      <c r="O37" s="436"/>
      <c r="P37" s="437"/>
      <c r="Q37" s="91"/>
      <c r="R37" s="110">
        <v>0</v>
      </c>
      <c r="S37" s="110">
        <v>0</v>
      </c>
      <c r="T37" s="110">
        <v>0</v>
      </c>
      <c r="U37" s="110">
        <v>0</v>
      </c>
      <c r="V37" s="111">
        <v>0</v>
      </c>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109"/>
    </row>
    <row r="38" spans="2:70" s="53" customFormat="1" ht="55.9" customHeight="1" x14ac:dyDescent="0.2">
      <c r="C38" s="40" t="s">
        <v>26</v>
      </c>
      <c r="D38" s="21" t="s">
        <v>548</v>
      </c>
      <c r="E38" s="139" t="s">
        <v>556</v>
      </c>
      <c r="F38" s="144" t="s">
        <v>644</v>
      </c>
      <c r="G38" s="21">
        <v>5</v>
      </c>
      <c r="H38" s="21">
        <f>'CRF Workbook'!G189</f>
        <v>5</v>
      </c>
      <c r="I38" s="21">
        <v>3</v>
      </c>
      <c r="J38" s="21">
        <f t="shared" ref="J38:J42" si="10">I38-H38</f>
        <v>-2</v>
      </c>
      <c r="K38" s="195" t="str">
        <f t="shared" ref="K38:K42" si="11">VLOOKUP(H38,$BW$5:$BX$10,2,TRUE)</f>
        <v>Advanced</v>
      </c>
      <c r="L38" s="21" t="s">
        <v>30</v>
      </c>
      <c r="M38" s="21"/>
      <c r="N38" s="21"/>
      <c r="O38" s="21"/>
      <c r="P38" s="21"/>
      <c r="Q38" s="91"/>
      <c r="R38" s="110">
        <v>0</v>
      </c>
      <c r="S38" s="110">
        <v>0</v>
      </c>
      <c r="T38" s="110">
        <v>0</v>
      </c>
      <c r="U38" s="110">
        <v>0</v>
      </c>
      <c r="V38" s="111">
        <v>0</v>
      </c>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109"/>
    </row>
    <row r="39" spans="2:70" s="53" customFormat="1" ht="55.9" customHeight="1" x14ac:dyDescent="0.2">
      <c r="B39" s="53" t="s">
        <v>111</v>
      </c>
      <c r="C39" s="40" t="s">
        <v>26</v>
      </c>
      <c r="D39" s="21" t="s">
        <v>548</v>
      </c>
      <c r="E39" s="139" t="s">
        <v>557</v>
      </c>
      <c r="F39" s="144" t="s">
        <v>645</v>
      </c>
      <c r="G39" s="21">
        <v>4</v>
      </c>
      <c r="H39" s="21">
        <f>'CRF Workbook'!G202</f>
        <v>5</v>
      </c>
      <c r="I39" s="21">
        <v>3</v>
      </c>
      <c r="J39" s="21">
        <f t="shared" si="10"/>
        <v>-2</v>
      </c>
      <c r="K39" s="195" t="str">
        <f t="shared" si="11"/>
        <v>Advanced</v>
      </c>
      <c r="L39" s="21" t="s">
        <v>30</v>
      </c>
      <c r="M39" s="21"/>
      <c r="N39" s="21"/>
      <c r="O39" s="21"/>
      <c r="P39" s="21"/>
      <c r="Q39" s="112"/>
      <c r="R39" s="113">
        <v>0</v>
      </c>
      <c r="S39" s="113"/>
      <c r="T39" s="113"/>
      <c r="U39" s="113"/>
      <c r="V39" s="11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109"/>
    </row>
    <row r="40" spans="2:70" s="53" customFormat="1" ht="55.9" customHeight="1" x14ac:dyDescent="0.2">
      <c r="C40" s="40" t="s">
        <v>26</v>
      </c>
      <c r="D40" s="21" t="s">
        <v>548</v>
      </c>
      <c r="E40" s="183" t="s">
        <v>558</v>
      </c>
      <c r="F40" s="144" t="s">
        <v>646</v>
      </c>
      <c r="G40" s="21">
        <v>2</v>
      </c>
      <c r="H40" s="21">
        <f>'CRF Workbook'!G211</f>
        <v>2</v>
      </c>
      <c r="I40" s="21">
        <v>3</v>
      </c>
      <c r="J40" s="21">
        <f t="shared" si="10"/>
        <v>1</v>
      </c>
      <c r="K40" s="195" t="str">
        <f t="shared" si="11"/>
        <v>Partial Target</v>
      </c>
      <c r="L40" s="21" t="s">
        <v>30</v>
      </c>
      <c r="M40" s="21"/>
      <c r="N40" s="21"/>
      <c r="O40" s="21"/>
      <c r="P40" s="21"/>
      <c r="Q40" s="91"/>
      <c r="R40" s="106">
        <v>0</v>
      </c>
      <c r="S40" s="107">
        <v>0</v>
      </c>
      <c r="T40" s="106">
        <v>0</v>
      </c>
      <c r="U40" s="107">
        <v>0</v>
      </c>
      <c r="V40" s="108">
        <v>0</v>
      </c>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109"/>
    </row>
    <row r="41" spans="2:70" s="53" customFormat="1" ht="55.9" customHeight="1" x14ac:dyDescent="0.2">
      <c r="C41" s="40" t="s">
        <v>26</v>
      </c>
      <c r="D41" s="21" t="s">
        <v>548</v>
      </c>
      <c r="E41" s="139" t="s">
        <v>559</v>
      </c>
      <c r="F41" s="144" t="s">
        <v>647</v>
      </c>
      <c r="G41" s="21">
        <v>2</v>
      </c>
      <c r="H41" s="21">
        <f>'CRF Workbook'!G216</f>
        <v>2</v>
      </c>
      <c r="I41" s="21">
        <v>3</v>
      </c>
      <c r="J41" s="21">
        <f t="shared" si="10"/>
        <v>1</v>
      </c>
      <c r="K41" s="195" t="str">
        <f t="shared" si="11"/>
        <v>Partial Target</v>
      </c>
      <c r="L41" s="21" t="s">
        <v>30</v>
      </c>
      <c r="M41" s="21"/>
      <c r="N41" s="21"/>
      <c r="O41" s="21"/>
      <c r="P41" s="21"/>
      <c r="Q41" s="91"/>
      <c r="R41" s="110">
        <v>0</v>
      </c>
      <c r="S41" s="110">
        <v>0</v>
      </c>
      <c r="T41" s="110">
        <v>0</v>
      </c>
      <c r="U41" s="110">
        <v>0</v>
      </c>
      <c r="V41" s="111">
        <v>0</v>
      </c>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109"/>
    </row>
    <row r="42" spans="2:70" s="53" customFormat="1" ht="55.9" customHeight="1" x14ac:dyDescent="0.2">
      <c r="C42" s="40" t="s">
        <v>26</v>
      </c>
      <c r="D42" s="21" t="s">
        <v>548</v>
      </c>
      <c r="E42" s="186" t="s">
        <v>560</v>
      </c>
      <c r="F42" s="144" t="s">
        <v>648</v>
      </c>
      <c r="G42" s="21">
        <v>4</v>
      </c>
      <c r="H42" s="21">
        <f>'CRF Workbook'!G224</f>
        <v>5</v>
      </c>
      <c r="I42" s="21">
        <v>3</v>
      </c>
      <c r="J42" s="21">
        <f t="shared" si="10"/>
        <v>-2</v>
      </c>
      <c r="K42" s="195" t="str">
        <f t="shared" si="11"/>
        <v>Advanced</v>
      </c>
      <c r="L42" s="21" t="s">
        <v>30</v>
      </c>
      <c r="M42" s="21"/>
      <c r="N42" s="21"/>
      <c r="O42" s="21"/>
      <c r="P42" s="21"/>
      <c r="Q42" s="91"/>
      <c r="R42" s="110">
        <v>0</v>
      </c>
      <c r="S42" s="110">
        <v>0</v>
      </c>
      <c r="T42" s="110">
        <v>0</v>
      </c>
      <c r="U42" s="110">
        <v>0</v>
      </c>
      <c r="V42" s="111">
        <v>0</v>
      </c>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109"/>
    </row>
    <row r="43" spans="2:70" s="53" customFormat="1" ht="55.9" customHeight="1" x14ac:dyDescent="0.2">
      <c r="C43" s="40"/>
      <c r="D43" s="21"/>
      <c r="E43" s="66" t="s">
        <v>38</v>
      </c>
      <c r="F43" s="67"/>
      <c r="G43" s="22">
        <f>AVERAGE(G38:G42)</f>
        <v>3.4</v>
      </c>
      <c r="H43" s="22">
        <f>AVERAGE(H38:H42)</f>
        <v>3.8</v>
      </c>
      <c r="I43" s="22">
        <f>AVERAGE(I38:I42)</f>
        <v>3</v>
      </c>
      <c r="J43" s="22">
        <f>AVERAGE(J38:J42)</f>
        <v>-0.8</v>
      </c>
      <c r="K43" s="22"/>
      <c r="L43" s="23" t="s">
        <v>16</v>
      </c>
      <c r="M43" s="72"/>
      <c r="N43" s="73"/>
      <c r="O43" s="73"/>
      <c r="P43" s="74"/>
      <c r="Q43" s="91"/>
      <c r="R43" s="110">
        <v>0</v>
      </c>
      <c r="S43" s="110">
        <v>0</v>
      </c>
      <c r="T43" s="110">
        <v>0</v>
      </c>
      <c r="U43" s="110">
        <v>0</v>
      </c>
      <c r="V43" s="111">
        <v>0</v>
      </c>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109"/>
    </row>
    <row r="44" spans="2:70" s="53" customFormat="1" ht="55.9" customHeight="1" x14ac:dyDescent="0.2">
      <c r="C44" s="429" t="s">
        <v>561</v>
      </c>
      <c r="D44" s="430"/>
      <c r="E44" s="430"/>
      <c r="F44" s="430"/>
      <c r="G44" s="430"/>
      <c r="H44" s="430"/>
      <c r="I44" s="430"/>
      <c r="J44" s="430"/>
      <c r="K44" s="430"/>
      <c r="L44" s="430"/>
      <c r="M44" s="430"/>
      <c r="N44" s="430"/>
      <c r="O44" s="430"/>
      <c r="P44" s="431"/>
      <c r="Q44" s="91"/>
      <c r="R44" s="110">
        <v>0</v>
      </c>
      <c r="S44" s="110">
        <v>0</v>
      </c>
      <c r="T44" s="110">
        <v>0</v>
      </c>
      <c r="U44" s="110">
        <v>0</v>
      </c>
      <c r="V44" s="111">
        <v>0</v>
      </c>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109"/>
    </row>
    <row r="45" spans="2:70" s="53" customFormat="1" ht="55.9" customHeight="1" x14ac:dyDescent="0.2">
      <c r="C45" s="40" t="s">
        <v>26</v>
      </c>
      <c r="D45" s="21" t="s">
        <v>548</v>
      </c>
      <c r="E45" s="21" t="s">
        <v>562</v>
      </c>
      <c r="F45" s="144" t="s">
        <v>649</v>
      </c>
      <c r="G45" s="21">
        <v>1</v>
      </c>
      <c r="H45" s="21">
        <f>'CRF Workbook'!G232</f>
        <v>1</v>
      </c>
      <c r="I45" s="21">
        <v>3</v>
      </c>
      <c r="J45" s="21">
        <f>I45-H45</f>
        <v>2</v>
      </c>
      <c r="K45" s="195" t="str">
        <f>VLOOKUP(H45,$BW$5:$BX$10,2,TRUE)</f>
        <v>Baseline</v>
      </c>
      <c r="L45" s="21" t="s">
        <v>30</v>
      </c>
      <c r="M45" s="21"/>
      <c r="N45" s="21"/>
      <c r="O45" s="21"/>
      <c r="P45" s="21"/>
      <c r="Q45" s="91"/>
      <c r="R45" s="110">
        <v>0</v>
      </c>
      <c r="S45" s="110">
        <v>0</v>
      </c>
      <c r="T45" s="110">
        <v>0</v>
      </c>
      <c r="U45" s="110">
        <v>0</v>
      </c>
      <c r="V45" s="111">
        <v>0</v>
      </c>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109"/>
    </row>
    <row r="46" spans="2:70" s="53" customFormat="1" ht="55.9" customHeight="1" x14ac:dyDescent="0.2">
      <c r="C46" s="40"/>
      <c r="D46" s="21"/>
      <c r="E46" s="66" t="s">
        <v>38</v>
      </c>
      <c r="F46" s="67"/>
      <c r="G46" s="22">
        <f>AVERAGE(G45:G45)</f>
        <v>1</v>
      </c>
      <c r="H46" s="22">
        <f>AVERAGE(H45:H45)</f>
        <v>1</v>
      </c>
      <c r="I46" s="22">
        <f>AVERAGE(I45:I45)</f>
        <v>3</v>
      </c>
      <c r="J46" s="22">
        <f>AVERAGE(J45:J45)</f>
        <v>2</v>
      </c>
      <c r="K46" s="22"/>
      <c r="L46" s="23" t="s">
        <v>16</v>
      </c>
      <c r="M46" s="72"/>
      <c r="N46" s="73"/>
      <c r="O46" s="73"/>
      <c r="P46" s="74"/>
      <c r="Q46" s="91"/>
      <c r="R46" s="110">
        <v>0</v>
      </c>
      <c r="S46" s="110">
        <v>0</v>
      </c>
      <c r="T46" s="110">
        <v>0</v>
      </c>
      <c r="U46" s="110">
        <v>0</v>
      </c>
      <c r="V46" s="111">
        <v>0</v>
      </c>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109"/>
    </row>
    <row r="47" spans="2:70" s="53" customFormat="1" ht="55.9" customHeight="1" x14ac:dyDescent="0.2">
      <c r="C47" s="429" t="s">
        <v>563</v>
      </c>
      <c r="D47" s="430"/>
      <c r="E47" s="430"/>
      <c r="F47" s="430"/>
      <c r="G47" s="430"/>
      <c r="H47" s="430"/>
      <c r="I47" s="430"/>
      <c r="J47" s="430"/>
      <c r="K47" s="430"/>
      <c r="L47" s="430"/>
      <c r="M47" s="430"/>
      <c r="N47" s="430"/>
      <c r="O47" s="430"/>
      <c r="P47" s="431"/>
      <c r="Q47" s="91"/>
      <c r="R47" s="110">
        <v>0</v>
      </c>
      <c r="S47" s="110">
        <v>0</v>
      </c>
      <c r="T47" s="110">
        <v>0</v>
      </c>
      <c r="U47" s="110">
        <v>0</v>
      </c>
      <c r="V47" s="111">
        <v>0</v>
      </c>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109"/>
    </row>
    <row r="48" spans="2:70" s="53" customFormat="1" ht="55.9" customHeight="1" x14ac:dyDescent="0.2">
      <c r="B48" s="53" t="s">
        <v>134</v>
      </c>
      <c r="C48" s="40" t="s">
        <v>26</v>
      </c>
      <c r="D48" s="21" t="s">
        <v>548</v>
      </c>
      <c r="E48" s="145" t="s">
        <v>564</v>
      </c>
      <c r="F48" s="144" t="s">
        <v>650</v>
      </c>
      <c r="G48" s="21">
        <v>5</v>
      </c>
      <c r="H48" s="21">
        <f>'CRF Workbook'!G242</f>
        <v>5</v>
      </c>
      <c r="I48" s="21">
        <v>3</v>
      </c>
      <c r="J48" s="21">
        <f t="shared" ref="J48:J51" si="12">I48-H48</f>
        <v>-2</v>
      </c>
      <c r="K48" s="195" t="str">
        <f t="shared" ref="K48:K51" si="13">VLOOKUP(H48,$BW$5:$BX$10,2,TRUE)</f>
        <v>Advanced</v>
      </c>
      <c r="L48" s="21" t="s">
        <v>30</v>
      </c>
      <c r="M48" s="21"/>
      <c r="N48" s="21"/>
      <c r="O48" s="21"/>
      <c r="P48" s="21"/>
      <c r="Q48" s="112"/>
      <c r="R48" s="113">
        <v>0</v>
      </c>
      <c r="S48" s="113"/>
      <c r="T48" s="113"/>
      <c r="U48" s="113"/>
      <c r="V48" s="11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109"/>
    </row>
    <row r="49" spans="2:70" s="53" customFormat="1" ht="55.9" customHeight="1" x14ac:dyDescent="0.2">
      <c r="C49" s="40" t="s">
        <v>26</v>
      </c>
      <c r="D49" s="21" t="s">
        <v>548</v>
      </c>
      <c r="E49" s="145" t="s">
        <v>565</v>
      </c>
      <c r="F49" s="144" t="s">
        <v>651</v>
      </c>
      <c r="G49" s="21">
        <v>2</v>
      </c>
      <c r="H49" s="21">
        <f>'CRF Workbook'!G252</f>
        <v>2</v>
      </c>
      <c r="I49" s="21">
        <v>3</v>
      </c>
      <c r="J49" s="21">
        <f t="shared" si="12"/>
        <v>1</v>
      </c>
      <c r="K49" s="195" t="str">
        <f t="shared" si="13"/>
        <v>Partial Target</v>
      </c>
      <c r="L49" s="21" t="s">
        <v>30</v>
      </c>
      <c r="M49" s="21"/>
      <c r="N49" s="21"/>
      <c r="O49" s="21"/>
      <c r="P49" s="21"/>
      <c r="Q49" s="91"/>
      <c r="R49" s="106">
        <v>0</v>
      </c>
      <c r="S49" s="107">
        <v>0</v>
      </c>
      <c r="T49" s="106">
        <v>0</v>
      </c>
      <c r="U49" s="107">
        <v>0</v>
      </c>
      <c r="V49" s="108">
        <v>0</v>
      </c>
      <c r="W49" s="33"/>
      <c r="X49" s="33"/>
      <c r="Y49" s="33"/>
      <c r="Z49" s="33"/>
      <c r="AA49" s="33"/>
      <c r="AB49" s="33"/>
      <c r="AC49" s="33"/>
      <c r="AD49" s="33"/>
      <c r="AE49" s="33"/>
      <c r="AF49" s="33"/>
      <c r="AG49" s="33"/>
      <c r="AH49" s="33"/>
      <c r="AI49" s="33"/>
      <c r="AJ49" s="33"/>
      <c r="AK49" s="33"/>
      <c r="AL49" s="33"/>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8"/>
    </row>
    <row r="50" spans="2:70" s="53" customFormat="1" ht="55.9" customHeight="1" x14ac:dyDescent="0.2">
      <c r="C50" s="40" t="s">
        <v>26</v>
      </c>
      <c r="D50" s="21" t="s">
        <v>548</v>
      </c>
      <c r="E50" s="145" t="s">
        <v>566</v>
      </c>
      <c r="F50" s="144" t="s">
        <v>652</v>
      </c>
      <c r="G50" s="21">
        <v>1</v>
      </c>
      <c r="H50" s="21">
        <f>'CRF Workbook'!G265</f>
        <v>1</v>
      </c>
      <c r="I50" s="21">
        <v>3</v>
      </c>
      <c r="J50" s="21">
        <f t="shared" si="12"/>
        <v>2</v>
      </c>
      <c r="K50" s="195" t="str">
        <f t="shared" si="13"/>
        <v>Baseline</v>
      </c>
      <c r="L50" s="21" t="s">
        <v>30</v>
      </c>
      <c r="M50" s="21"/>
      <c r="N50" s="21"/>
      <c r="O50" s="21"/>
      <c r="P50" s="21"/>
      <c r="Q50" s="91"/>
      <c r="R50" s="110">
        <v>0</v>
      </c>
      <c r="S50" s="110">
        <v>0</v>
      </c>
      <c r="T50" s="110">
        <v>0</v>
      </c>
      <c r="U50" s="110">
        <v>0</v>
      </c>
      <c r="V50" s="111">
        <v>0</v>
      </c>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109"/>
    </row>
    <row r="51" spans="2:70" s="53" customFormat="1" ht="55.9" customHeight="1" x14ac:dyDescent="0.2">
      <c r="C51" s="40" t="s">
        <v>26</v>
      </c>
      <c r="D51" s="21" t="s">
        <v>548</v>
      </c>
      <c r="E51" s="146" t="s">
        <v>567</v>
      </c>
      <c r="F51" s="144" t="s">
        <v>653</v>
      </c>
      <c r="G51" s="21">
        <v>5</v>
      </c>
      <c r="H51" s="21">
        <f>'CRF Workbook'!G271</f>
        <v>5</v>
      </c>
      <c r="I51" s="21">
        <v>3</v>
      </c>
      <c r="J51" s="21">
        <f t="shared" si="12"/>
        <v>-2</v>
      </c>
      <c r="K51" s="195" t="str">
        <f t="shared" si="13"/>
        <v>Advanced</v>
      </c>
      <c r="L51" s="21" t="s">
        <v>30</v>
      </c>
      <c r="M51" s="21"/>
      <c r="N51" s="21"/>
      <c r="O51" s="21"/>
      <c r="P51" s="21"/>
      <c r="Q51" s="91"/>
      <c r="R51" s="110">
        <v>0</v>
      </c>
      <c r="S51" s="110">
        <v>0</v>
      </c>
      <c r="T51" s="110">
        <v>0</v>
      </c>
      <c r="U51" s="110">
        <v>0</v>
      </c>
      <c r="V51" s="111">
        <v>0</v>
      </c>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109"/>
    </row>
    <row r="52" spans="2:70" s="53" customFormat="1" ht="55.9" customHeight="1" x14ac:dyDescent="0.2">
      <c r="C52" s="40"/>
      <c r="D52" s="21"/>
      <c r="E52" s="66" t="s">
        <v>38</v>
      </c>
      <c r="F52" s="67"/>
      <c r="G52" s="22">
        <f>AVERAGE(G48:G51)</f>
        <v>3.25</v>
      </c>
      <c r="H52" s="22">
        <f>AVERAGE(H48:H51)</f>
        <v>3.25</v>
      </c>
      <c r="I52" s="22">
        <f>AVERAGE(I48:I51)</f>
        <v>3</v>
      </c>
      <c r="J52" s="22">
        <f>AVERAGE(J48:J51)</f>
        <v>-0.25</v>
      </c>
      <c r="K52" s="22"/>
      <c r="L52" s="23" t="s">
        <v>16</v>
      </c>
      <c r="M52" s="72"/>
      <c r="N52" s="73"/>
      <c r="O52" s="73"/>
      <c r="P52" s="74"/>
      <c r="Q52" s="91"/>
      <c r="R52" s="110">
        <v>0</v>
      </c>
      <c r="S52" s="110">
        <v>0</v>
      </c>
      <c r="T52" s="110">
        <v>0</v>
      </c>
      <c r="U52" s="110">
        <v>0</v>
      </c>
      <c r="V52" s="111">
        <v>0</v>
      </c>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109"/>
    </row>
    <row r="53" spans="2:70" s="53" customFormat="1" ht="55.9" customHeight="1" x14ac:dyDescent="0.2">
      <c r="C53" s="429" t="s">
        <v>568</v>
      </c>
      <c r="D53" s="430"/>
      <c r="E53" s="430"/>
      <c r="F53" s="430"/>
      <c r="G53" s="430"/>
      <c r="H53" s="430"/>
      <c r="I53" s="430"/>
      <c r="J53" s="430"/>
      <c r="K53" s="430"/>
      <c r="L53" s="430"/>
      <c r="M53" s="430"/>
      <c r="N53" s="430"/>
      <c r="O53" s="430"/>
      <c r="P53" s="431"/>
      <c r="Q53" s="91"/>
      <c r="R53" s="110">
        <v>0</v>
      </c>
      <c r="S53" s="110">
        <v>0</v>
      </c>
      <c r="T53" s="110">
        <v>0</v>
      </c>
      <c r="U53" s="110">
        <v>0</v>
      </c>
      <c r="V53" s="111">
        <v>0</v>
      </c>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109"/>
    </row>
    <row r="54" spans="2:70" s="53" customFormat="1" ht="55.9" customHeight="1" x14ac:dyDescent="0.2">
      <c r="C54" s="40" t="s">
        <v>26</v>
      </c>
      <c r="D54" s="21" t="s">
        <v>548</v>
      </c>
      <c r="E54" s="145" t="s">
        <v>569</v>
      </c>
      <c r="F54" s="144" t="s">
        <v>654</v>
      </c>
      <c r="G54" s="21">
        <v>2</v>
      </c>
      <c r="H54" s="21">
        <f>'CRF Workbook'!G278</f>
        <v>5</v>
      </c>
      <c r="I54" s="21">
        <v>3</v>
      </c>
      <c r="J54" s="21">
        <f t="shared" ref="J54:J57" si="14">I54-H54</f>
        <v>-2</v>
      </c>
      <c r="K54" s="195" t="str">
        <f t="shared" ref="K54:K57" si="15">VLOOKUP(H54,$BW$5:$BX$10,2,TRUE)</f>
        <v>Advanced</v>
      </c>
      <c r="L54" s="21" t="s">
        <v>30</v>
      </c>
      <c r="M54" s="21"/>
      <c r="N54" s="21"/>
      <c r="O54" s="21"/>
      <c r="P54" s="21"/>
      <c r="Q54" s="91"/>
      <c r="R54" s="110">
        <v>0</v>
      </c>
      <c r="S54" s="110">
        <v>0</v>
      </c>
      <c r="T54" s="110">
        <v>0</v>
      </c>
      <c r="U54" s="110">
        <v>0</v>
      </c>
      <c r="V54" s="111">
        <v>0</v>
      </c>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109"/>
    </row>
    <row r="55" spans="2:70" s="53" customFormat="1" ht="55.9" customHeight="1" x14ac:dyDescent="0.2">
      <c r="C55" s="40" t="s">
        <v>26</v>
      </c>
      <c r="D55" s="21" t="s">
        <v>548</v>
      </c>
      <c r="E55" s="183" t="s">
        <v>570</v>
      </c>
      <c r="F55" s="144" t="s">
        <v>655</v>
      </c>
      <c r="G55" s="21">
        <v>2</v>
      </c>
      <c r="H55" s="21">
        <f>'CRF Workbook'!G294</f>
        <v>2</v>
      </c>
      <c r="I55" s="21">
        <v>3</v>
      </c>
      <c r="J55" s="21">
        <f t="shared" si="14"/>
        <v>1</v>
      </c>
      <c r="K55" s="195" t="str">
        <f t="shared" si="15"/>
        <v>Partial Target</v>
      </c>
      <c r="L55" s="21" t="s">
        <v>30</v>
      </c>
      <c r="M55" s="21"/>
      <c r="N55" s="21"/>
      <c r="O55" s="21"/>
      <c r="P55" s="21"/>
      <c r="Q55" s="91"/>
      <c r="R55" s="110">
        <v>0</v>
      </c>
      <c r="S55" s="110">
        <v>0</v>
      </c>
      <c r="T55" s="110">
        <v>0</v>
      </c>
      <c r="U55" s="110">
        <v>0</v>
      </c>
      <c r="V55" s="111">
        <v>0</v>
      </c>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09"/>
    </row>
    <row r="56" spans="2:70" s="53" customFormat="1" ht="55.9" customHeight="1" x14ac:dyDescent="0.2">
      <c r="B56" s="53" t="s">
        <v>159</v>
      </c>
      <c r="C56" s="40" t="s">
        <v>26</v>
      </c>
      <c r="D56" s="21" t="s">
        <v>548</v>
      </c>
      <c r="E56" s="183" t="s">
        <v>571</v>
      </c>
      <c r="F56" s="144" t="s">
        <v>656</v>
      </c>
      <c r="G56" s="21">
        <v>2</v>
      </c>
      <c r="H56" s="21">
        <f>'CRF Workbook'!G299</f>
        <v>2</v>
      </c>
      <c r="I56" s="21">
        <v>3</v>
      </c>
      <c r="J56" s="21">
        <f t="shared" si="14"/>
        <v>1</v>
      </c>
      <c r="K56" s="195" t="str">
        <f t="shared" si="15"/>
        <v>Partial Target</v>
      </c>
      <c r="L56" s="21" t="s">
        <v>30</v>
      </c>
      <c r="M56" s="21"/>
      <c r="N56" s="21"/>
      <c r="O56" s="21"/>
      <c r="P56" s="21"/>
      <c r="Q56" s="112"/>
      <c r="R56" s="113">
        <v>0</v>
      </c>
      <c r="S56" s="113"/>
      <c r="T56" s="113"/>
      <c r="U56" s="113"/>
      <c r="V56" s="11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109"/>
    </row>
    <row r="57" spans="2:70" s="53" customFormat="1" ht="55.9" customHeight="1" x14ac:dyDescent="0.2">
      <c r="C57" s="40" t="s">
        <v>26</v>
      </c>
      <c r="D57" s="21" t="s">
        <v>548</v>
      </c>
      <c r="E57" s="143" t="s">
        <v>572</v>
      </c>
      <c r="F57" s="144" t="s">
        <v>657</v>
      </c>
      <c r="G57" s="21">
        <v>5</v>
      </c>
      <c r="H57" s="21">
        <f>'CRF Workbook'!G303</f>
        <v>5</v>
      </c>
      <c r="I57" s="21">
        <v>3</v>
      </c>
      <c r="J57" s="21">
        <f t="shared" si="14"/>
        <v>-2</v>
      </c>
      <c r="K57" s="195" t="str">
        <f t="shared" si="15"/>
        <v>Advanced</v>
      </c>
      <c r="L57" s="21" t="s">
        <v>30</v>
      </c>
      <c r="M57" s="21"/>
      <c r="N57" s="21"/>
      <c r="O57" s="21"/>
      <c r="P57" s="21"/>
      <c r="Q57" s="91"/>
      <c r="R57" s="106">
        <v>0</v>
      </c>
      <c r="S57" s="107">
        <v>0</v>
      </c>
      <c r="T57" s="106">
        <v>0</v>
      </c>
      <c r="U57" s="107">
        <v>0</v>
      </c>
      <c r="V57" s="108">
        <v>0</v>
      </c>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109"/>
    </row>
    <row r="58" spans="2:70" s="53" customFormat="1" ht="55.9" customHeight="1" x14ac:dyDescent="0.2">
      <c r="C58" s="40"/>
      <c r="D58" s="21"/>
      <c r="E58" s="66" t="s">
        <v>38</v>
      </c>
      <c r="F58" s="67"/>
      <c r="G58" s="22">
        <f>AVERAGE(G54:G57)</f>
        <v>2.75</v>
      </c>
      <c r="H58" s="22">
        <f>AVERAGE(H54:H57)</f>
        <v>3.5</v>
      </c>
      <c r="I58" s="22">
        <f>AVERAGE(I54:I57)</f>
        <v>3</v>
      </c>
      <c r="J58" s="22">
        <f>AVERAGE(J54:J57)</f>
        <v>-0.5</v>
      </c>
      <c r="K58" s="22"/>
      <c r="L58" s="23" t="s">
        <v>16</v>
      </c>
      <c r="M58" s="72"/>
      <c r="N58" s="73"/>
      <c r="O58" s="73"/>
      <c r="P58" s="74"/>
      <c r="Q58" s="91"/>
      <c r="R58" s="110">
        <v>0</v>
      </c>
      <c r="S58" s="110">
        <v>0</v>
      </c>
      <c r="T58" s="110">
        <v>0</v>
      </c>
      <c r="U58" s="110">
        <v>0</v>
      </c>
      <c r="V58" s="111">
        <v>0</v>
      </c>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109"/>
    </row>
    <row r="59" spans="2:70" s="53" customFormat="1" ht="55.9" customHeight="1" x14ac:dyDescent="0.2">
      <c r="C59" s="429" t="s">
        <v>573</v>
      </c>
      <c r="D59" s="430"/>
      <c r="E59" s="430"/>
      <c r="F59" s="430"/>
      <c r="G59" s="430"/>
      <c r="H59" s="430"/>
      <c r="I59" s="430"/>
      <c r="J59" s="430"/>
      <c r="K59" s="430"/>
      <c r="L59" s="430"/>
      <c r="M59" s="430"/>
      <c r="N59" s="430"/>
      <c r="O59" s="430"/>
      <c r="P59" s="431"/>
      <c r="Q59" s="91"/>
      <c r="R59" s="110">
        <v>0</v>
      </c>
      <c r="S59" s="110">
        <v>0</v>
      </c>
      <c r="T59" s="110">
        <v>0</v>
      </c>
      <c r="U59" s="110">
        <v>0</v>
      </c>
      <c r="V59" s="111">
        <v>0</v>
      </c>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109"/>
    </row>
    <row r="60" spans="2:70" s="53" customFormat="1" ht="55.9" customHeight="1" x14ac:dyDescent="0.2">
      <c r="C60" s="40" t="s">
        <v>26</v>
      </c>
      <c r="D60" s="21" t="s">
        <v>548</v>
      </c>
      <c r="E60" s="139" t="s">
        <v>574</v>
      </c>
      <c r="F60" s="144" t="s">
        <v>658</v>
      </c>
      <c r="G60" s="21">
        <v>4</v>
      </c>
      <c r="H60" s="21">
        <f>'CRF Workbook'!G308</f>
        <v>5</v>
      </c>
      <c r="I60" s="21">
        <v>3</v>
      </c>
      <c r="J60" s="21">
        <f t="shared" ref="J60:J61" si="16">I60-H60</f>
        <v>-2</v>
      </c>
      <c r="K60" s="195" t="str">
        <f t="shared" ref="K60:K61" si="17">VLOOKUP(H60,$BW$5:$BX$10,2,TRUE)</f>
        <v>Advanced</v>
      </c>
      <c r="L60" s="21" t="s">
        <v>30</v>
      </c>
      <c r="M60" s="21"/>
      <c r="N60" s="21"/>
      <c r="O60" s="21"/>
      <c r="P60" s="21"/>
      <c r="Q60" s="91"/>
      <c r="R60" s="110">
        <v>0</v>
      </c>
      <c r="S60" s="110">
        <v>0</v>
      </c>
      <c r="T60" s="110">
        <v>0</v>
      </c>
      <c r="U60" s="110">
        <v>0</v>
      </c>
      <c r="V60" s="111">
        <v>0</v>
      </c>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109"/>
    </row>
    <row r="61" spans="2:70" s="53" customFormat="1" ht="55.9" customHeight="1" x14ac:dyDescent="0.2">
      <c r="C61" s="40" t="s">
        <v>26</v>
      </c>
      <c r="D61" s="21" t="s">
        <v>548</v>
      </c>
      <c r="E61" s="143" t="s">
        <v>575</v>
      </c>
      <c r="F61" s="144" t="s">
        <v>659</v>
      </c>
      <c r="G61" s="21">
        <v>5</v>
      </c>
      <c r="H61" s="21">
        <f>'CRF Workbook'!G313</f>
        <v>5</v>
      </c>
      <c r="I61" s="21">
        <v>3</v>
      </c>
      <c r="J61" s="21">
        <f t="shared" si="16"/>
        <v>-2</v>
      </c>
      <c r="K61" s="195" t="str">
        <f t="shared" si="17"/>
        <v>Advanced</v>
      </c>
      <c r="L61" s="21" t="s">
        <v>30</v>
      </c>
      <c r="M61" s="21"/>
      <c r="N61" s="21"/>
      <c r="O61" s="21"/>
      <c r="P61" s="21"/>
      <c r="Q61" s="91"/>
      <c r="R61" s="110">
        <v>0</v>
      </c>
      <c r="S61" s="110">
        <v>0</v>
      </c>
      <c r="T61" s="110">
        <v>0</v>
      </c>
      <c r="U61" s="110">
        <v>0</v>
      </c>
      <c r="V61" s="111">
        <v>0</v>
      </c>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109"/>
    </row>
    <row r="62" spans="2:70" s="53" customFormat="1" ht="55.9" customHeight="1" x14ac:dyDescent="0.2">
      <c r="C62" s="40"/>
      <c r="D62" s="21"/>
      <c r="E62" s="66" t="s">
        <v>38</v>
      </c>
      <c r="F62" s="67"/>
      <c r="G62" s="22">
        <f>AVERAGE(G60:G61)</f>
        <v>4.5</v>
      </c>
      <c r="H62" s="22">
        <f>AVERAGE(H60:H61)</f>
        <v>5</v>
      </c>
      <c r="I62" s="22">
        <f>AVERAGE(I60:I61)</f>
        <v>3</v>
      </c>
      <c r="J62" s="22">
        <f>AVERAGE(J60:J61)</f>
        <v>-2</v>
      </c>
      <c r="K62" s="22"/>
      <c r="L62" s="23" t="s">
        <v>16</v>
      </c>
      <c r="M62" s="72"/>
      <c r="N62" s="73"/>
      <c r="O62" s="73"/>
      <c r="P62" s="74"/>
      <c r="Q62" s="91"/>
      <c r="R62" s="110">
        <v>0</v>
      </c>
      <c r="S62" s="110">
        <v>0</v>
      </c>
      <c r="T62" s="110">
        <v>0</v>
      </c>
      <c r="U62" s="110">
        <v>0</v>
      </c>
      <c r="V62" s="111">
        <v>0</v>
      </c>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109"/>
    </row>
    <row r="63" spans="2:70" s="53" customFormat="1" ht="55.9" customHeight="1" x14ac:dyDescent="0.2">
      <c r="C63" s="429" t="s">
        <v>576</v>
      </c>
      <c r="D63" s="430"/>
      <c r="E63" s="430"/>
      <c r="F63" s="430"/>
      <c r="G63" s="430"/>
      <c r="H63" s="430"/>
      <c r="I63" s="430"/>
      <c r="J63" s="430"/>
      <c r="K63" s="430"/>
      <c r="L63" s="430"/>
      <c r="M63" s="430"/>
      <c r="N63" s="430"/>
      <c r="O63" s="430"/>
      <c r="P63" s="431"/>
      <c r="Q63" s="91"/>
      <c r="R63" s="110">
        <v>0</v>
      </c>
      <c r="S63" s="110">
        <v>0</v>
      </c>
      <c r="T63" s="110">
        <v>0</v>
      </c>
      <c r="U63" s="110">
        <v>0</v>
      </c>
      <c r="V63" s="111">
        <v>0</v>
      </c>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109"/>
    </row>
    <row r="64" spans="2:70" s="53" customFormat="1" ht="55.9" customHeight="1" x14ac:dyDescent="0.2">
      <c r="C64" s="40" t="s">
        <v>26</v>
      </c>
      <c r="D64" s="21" t="s">
        <v>548</v>
      </c>
      <c r="E64" s="139" t="s">
        <v>577</v>
      </c>
      <c r="F64" s="144" t="s">
        <v>660</v>
      </c>
      <c r="G64" s="21">
        <v>5</v>
      </c>
      <c r="H64" s="21">
        <f>'CRF Workbook'!G318</f>
        <v>5</v>
      </c>
      <c r="I64" s="21">
        <v>3</v>
      </c>
      <c r="J64" s="21">
        <f t="shared" ref="J64:J65" si="18">I64-H64</f>
        <v>-2</v>
      </c>
      <c r="K64" s="195" t="str">
        <f t="shared" ref="K64:K65" si="19">VLOOKUP(H64,$BW$5:$BX$10,2,TRUE)</f>
        <v>Advanced</v>
      </c>
      <c r="L64" s="21" t="s">
        <v>30</v>
      </c>
      <c r="M64" s="21"/>
      <c r="N64" s="21"/>
      <c r="O64" s="21"/>
      <c r="P64" s="21"/>
      <c r="Q64" s="91"/>
      <c r="R64" s="110">
        <v>0</v>
      </c>
      <c r="S64" s="110">
        <v>0</v>
      </c>
      <c r="T64" s="110">
        <v>0</v>
      </c>
      <c r="U64" s="110">
        <v>0</v>
      </c>
      <c r="V64" s="111">
        <v>0</v>
      </c>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109"/>
    </row>
    <row r="65" spans="2:70" s="53" customFormat="1" ht="61.9" customHeight="1" x14ac:dyDescent="0.2">
      <c r="C65" s="40" t="s">
        <v>26</v>
      </c>
      <c r="D65" s="21" t="s">
        <v>548</v>
      </c>
      <c r="E65" s="143" t="s">
        <v>578</v>
      </c>
      <c r="F65" s="144" t="s">
        <v>661</v>
      </c>
      <c r="G65" s="21">
        <v>5</v>
      </c>
      <c r="H65" s="21">
        <f>'CRF Workbook'!G324</f>
        <v>5</v>
      </c>
      <c r="I65" s="21">
        <v>3</v>
      </c>
      <c r="J65" s="21">
        <f t="shared" si="18"/>
        <v>-2</v>
      </c>
      <c r="K65" s="195" t="str">
        <f t="shared" si="19"/>
        <v>Advanced</v>
      </c>
      <c r="L65" s="21" t="s">
        <v>30</v>
      </c>
      <c r="M65" s="21"/>
      <c r="N65" s="21"/>
      <c r="O65" s="21"/>
      <c r="P65" s="21"/>
      <c r="Q65" s="91"/>
      <c r="R65" s="110">
        <v>0</v>
      </c>
      <c r="S65" s="110">
        <v>0</v>
      </c>
      <c r="T65" s="110">
        <v>0</v>
      </c>
      <c r="U65" s="110">
        <v>0</v>
      </c>
      <c r="V65" s="111">
        <v>0</v>
      </c>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109"/>
    </row>
    <row r="66" spans="2:70" s="53" customFormat="1" ht="55.9" customHeight="1" x14ac:dyDescent="0.2">
      <c r="C66" s="40"/>
      <c r="D66" s="21"/>
      <c r="E66" s="66" t="s">
        <v>38</v>
      </c>
      <c r="F66" s="67"/>
      <c r="G66" s="22">
        <f>AVERAGE(G64:G65)</f>
        <v>5</v>
      </c>
      <c r="H66" s="22">
        <f>AVERAGE(H64:H65)</f>
        <v>5</v>
      </c>
      <c r="I66" s="22">
        <f>AVERAGE(I64:I65)</f>
        <v>3</v>
      </c>
      <c r="J66" s="22">
        <f>AVERAGE(J64:J65)</f>
        <v>-2</v>
      </c>
      <c r="K66" s="22"/>
      <c r="L66" s="23" t="s">
        <v>16</v>
      </c>
      <c r="M66" s="72"/>
      <c r="N66" s="73"/>
      <c r="O66" s="73"/>
      <c r="P66" s="74"/>
      <c r="Q66" s="91"/>
      <c r="R66" s="110">
        <v>0</v>
      </c>
      <c r="S66" s="110">
        <v>0</v>
      </c>
      <c r="T66" s="110">
        <v>0</v>
      </c>
      <c r="U66" s="110">
        <v>0</v>
      </c>
      <c r="V66" s="111">
        <v>0</v>
      </c>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109"/>
    </row>
    <row r="67" spans="2:70" s="53" customFormat="1" ht="55.9" customHeight="1" x14ac:dyDescent="0.2">
      <c r="C67" s="429" t="s">
        <v>579</v>
      </c>
      <c r="D67" s="430"/>
      <c r="E67" s="430"/>
      <c r="F67" s="430"/>
      <c r="G67" s="430"/>
      <c r="H67" s="430"/>
      <c r="I67" s="430"/>
      <c r="J67" s="430"/>
      <c r="K67" s="430"/>
      <c r="L67" s="430"/>
      <c r="M67" s="430"/>
      <c r="N67" s="430"/>
      <c r="O67" s="430"/>
      <c r="P67" s="431"/>
      <c r="Q67" s="91"/>
      <c r="R67" s="110">
        <v>0</v>
      </c>
      <c r="S67" s="110">
        <v>0</v>
      </c>
      <c r="T67" s="110">
        <v>0</v>
      </c>
      <c r="U67" s="110">
        <v>0</v>
      </c>
      <c r="V67" s="111">
        <v>0</v>
      </c>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109"/>
    </row>
    <row r="68" spans="2:70" s="53" customFormat="1" ht="55.9" customHeight="1" x14ac:dyDescent="0.2">
      <c r="C68" s="40" t="s">
        <v>26</v>
      </c>
      <c r="D68" s="21" t="s">
        <v>548</v>
      </c>
      <c r="E68" s="139" t="s">
        <v>580</v>
      </c>
      <c r="F68" s="144" t="s">
        <v>662</v>
      </c>
      <c r="G68" s="21">
        <v>5</v>
      </c>
      <c r="H68" s="21">
        <f>'CRF Workbook'!G338</f>
        <v>5</v>
      </c>
      <c r="I68" s="21">
        <v>3</v>
      </c>
      <c r="J68" s="21">
        <f t="shared" ref="J68:J71" si="20">I68-H68</f>
        <v>-2</v>
      </c>
      <c r="K68" s="195" t="str">
        <f t="shared" ref="K68:K71" si="21">VLOOKUP(H68,$BW$5:$BX$10,2,TRUE)</f>
        <v>Advanced</v>
      </c>
      <c r="L68" s="21" t="s">
        <v>30</v>
      </c>
      <c r="M68" s="21"/>
      <c r="N68" s="21"/>
      <c r="O68" s="21"/>
      <c r="P68" s="21"/>
      <c r="Q68" s="91"/>
      <c r="R68" s="110">
        <v>0</v>
      </c>
      <c r="S68" s="110">
        <v>0</v>
      </c>
      <c r="T68" s="110">
        <v>0</v>
      </c>
      <c r="U68" s="110">
        <v>0</v>
      </c>
      <c r="V68" s="111">
        <v>0</v>
      </c>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109"/>
    </row>
    <row r="69" spans="2:70" s="53" customFormat="1" ht="55.9" customHeight="1" x14ac:dyDescent="0.2">
      <c r="C69" s="40" t="s">
        <v>26</v>
      </c>
      <c r="D69" s="21" t="s">
        <v>548</v>
      </c>
      <c r="E69" s="139" t="s">
        <v>581</v>
      </c>
      <c r="F69" s="144" t="s">
        <v>663</v>
      </c>
      <c r="G69" s="21">
        <v>4</v>
      </c>
      <c r="H69" s="21">
        <f>'CRF Workbook'!G349</f>
        <v>4</v>
      </c>
      <c r="I69" s="21">
        <v>3</v>
      </c>
      <c r="J69" s="21">
        <f t="shared" si="20"/>
        <v>-1</v>
      </c>
      <c r="K69" s="195" t="str">
        <f t="shared" si="21"/>
        <v>Partial Advanced</v>
      </c>
      <c r="L69" s="21" t="s">
        <v>30</v>
      </c>
      <c r="M69" s="21"/>
      <c r="N69" s="21"/>
      <c r="O69" s="21"/>
      <c r="P69" s="21"/>
      <c r="Q69" s="91"/>
      <c r="R69" s="110">
        <v>0</v>
      </c>
      <c r="S69" s="110">
        <v>0</v>
      </c>
      <c r="T69" s="110">
        <v>0</v>
      </c>
      <c r="U69" s="110">
        <v>0</v>
      </c>
      <c r="V69" s="111">
        <v>0</v>
      </c>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109"/>
    </row>
    <row r="70" spans="2:70" s="53" customFormat="1" ht="55.9" customHeight="1" x14ac:dyDescent="0.2">
      <c r="C70" s="40" t="s">
        <v>26</v>
      </c>
      <c r="D70" s="21" t="s">
        <v>548</v>
      </c>
      <c r="E70" s="139" t="s">
        <v>582</v>
      </c>
      <c r="F70" s="144" t="s">
        <v>664</v>
      </c>
      <c r="G70" s="21">
        <v>5</v>
      </c>
      <c r="H70" s="21">
        <f>'CRF Workbook'!G356</f>
        <v>5</v>
      </c>
      <c r="I70" s="21">
        <v>3</v>
      </c>
      <c r="J70" s="21">
        <f t="shared" si="20"/>
        <v>-2</v>
      </c>
      <c r="K70" s="195" t="str">
        <f t="shared" si="21"/>
        <v>Advanced</v>
      </c>
      <c r="L70" s="21" t="s">
        <v>30</v>
      </c>
      <c r="M70" s="21"/>
      <c r="N70" s="21"/>
      <c r="O70" s="21"/>
      <c r="P70" s="21"/>
      <c r="Q70" s="91"/>
      <c r="R70" s="110">
        <v>0</v>
      </c>
      <c r="S70" s="110">
        <v>0</v>
      </c>
      <c r="T70" s="110">
        <v>0</v>
      </c>
      <c r="U70" s="110">
        <v>0</v>
      </c>
      <c r="V70" s="111">
        <v>0</v>
      </c>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109"/>
    </row>
    <row r="71" spans="2:70" s="53" customFormat="1" ht="55.9" customHeight="1" x14ac:dyDescent="0.2">
      <c r="C71" s="40" t="s">
        <v>26</v>
      </c>
      <c r="D71" s="21" t="s">
        <v>548</v>
      </c>
      <c r="E71" s="143" t="s">
        <v>583</v>
      </c>
      <c r="F71" s="144" t="s">
        <v>665</v>
      </c>
      <c r="G71" s="21">
        <v>1</v>
      </c>
      <c r="H71" s="21">
        <f>'CRF Workbook'!G366</f>
        <v>1</v>
      </c>
      <c r="I71" s="21">
        <v>3</v>
      </c>
      <c r="J71" s="21">
        <f t="shared" si="20"/>
        <v>2</v>
      </c>
      <c r="K71" s="195" t="str">
        <f t="shared" si="21"/>
        <v>Baseline</v>
      </c>
      <c r="L71" s="21" t="s">
        <v>30</v>
      </c>
      <c r="M71" s="21"/>
      <c r="N71" s="21"/>
      <c r="O71" s="21"/>
      <c r="P71" s="21"/>
      <c r="Q71" s="91"/>
      <c r="R71" s="110">
        <v>0</v>
      </c>
      <c r="S71" s="110">
        <v>0</v>
      </c>
      <c r="T71" s="110">
        <v>0</v>
      </c>
      <c r="U71" s="110">
        <v>0</v>
      </c>
      <c r="V71" s="111">
        <v>0</v>
      </c>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109"/>
    </row>
    <row r="72" spans="2:70" s="53" customFormat="1" ht="55.9" customHeight="1" x14ac:dyDescent="0.2">
      <c r="C72" s="40"/>
      <c r="D72" s="21"/>
      <c r="E72" s="66" t="s">
        <v>38</v>
      </c>
      <c r="F72" s="67"/>
      <c r="G72" s="22">
        <f>AVERAGE(G68:G71)</f>
        <v>3.75</v>
      </c>
      <c r="H72" s="22">
        <f>AVERAGE(H68:H71)</f>
        <v>3.75</v>
      </c>
      <c r="I72" s="22">
        <f>AVERAGE(I68:I71)</f>
        <v>3</v>
      </c>
      <c r="J72" s="22">
        <f>AVERAGE(J68:J71)</f>
        <v>-0.75</v>
      </c>
      <c r="K72" s="22"/>
      <c r="L72" s="23" t="s">
        <v>16</v>
      </c>
      <c r="M72" s="72"/>
      <c r="N72" s="73"/>
      <c r="O72" s="73"/>
      <c r="P72" s="74"/>
      <c r="Q72" s="91"/>
      <c r="R72" s="110">
        <v>0</v>
      </c>
      <c r="S72" s="110">
        <v>0</v>
      </c>
      <c r="T72" s="110">
        <v>0</v>
      </c>
      <c r="U72" s="110">
        <v>0</v>
      </c>
      <c r="V72" s="111">
        <v>0</v>
      </c>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109"/>
    </row>
    <row r="73" spans="2:70" s="53" customFormat="1" ht="55.9" customHeight="1" x14ac:dyDescent="0.2">
      <c r="C73" s="435" t="s">
        <v>584</v>
      </c>
      <c r="D73" s="436"/>
      <c r="E73" s="436"/>
      <c r="F73" s="436"/>
      <c r="G73" s="436"/>
      <c r="H73" s="436"/>
      <c r="I73" s="436"/>
      <c r="J73" s="436"/>
      <c r="K73" s="436"/>
      <c r="L73" s="436"/>
      <c r="M73" s="436"/>
      <c r="N73" s="436"/>
      <c r="O73" s="436"/>
      <c r="P73" s="437"/>
      <c r="Q73" s="91"/>
      <c r="R73" s="110">
        <v>0</v>
      </c>
      <c r="S73" s="110">
        <v>0</v>
      </c>
      <c r="T73" s="110">
        <v>0</v>
      </c>
      <c r="U73" s="110">
        <v>0</v>
      </c>
      <c r="V73" s="111">
        <v>0</v>
      </c>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109"/>
    </row>
    <row r="74" spans="2:70" s="53" customFormat="1" ht="55.9" customHeight="1" x14ac:dyDescent="0.2">
      <c r="C74" s="40" t="s">
        <v>26</v>
      </c>
      <c r="D74" s="21" t="s">
        <v>548</v>
      </c>
      <c r="E74" s="185" t="s">
        <v>585</v>
      </c>
      <c r="F74" s="144" t="s">
        <v>666</v>
      </c>
      <c r="G74" s="21">
        <v>5</v>
      </c>
      <c r="H74" s="21">
        <f>'CRF Workbook'!G372</f>
        <v>5</v>
      </c>
      <c r="I74" s="21">
        <v>3</v>
      </c>
      <c r="J74" s="21">
        <f>I74-H74</f>
        <v>-2</v>
      </c>
      <c r="K74" s="195" t="str">
        <f t="shared" ref="K74:K83" si="22">VLOOKUP(H74,$BW$5:$BX$10,2,TRUE)</f>
        <v>Advanced</v>
      </c>
      <c r="L74" s="21" t="s">
        <v>30</v>
      </c>
      <c r="M74" s="21"/>
      <c r="N74" s="21"/>
      <c r="O74" s="21"/>
      <c r="P74" s="21"/>
      <c r="Q74" s="91"/>
      <c r="R74" s="110">
        <v>0</v>
      </c>
      <c r="S74" s="110">
        <v>0</v>
      </c>
      <c r="T74" s="110">
        <v>0</v>
      </c>
      <c r="U74" s="110">
        <v>0</v>
      </c>
      <c r="V74" s="111">
        <v>0</v>
      </c>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109"/>
    </row>
    <row r="75" spans="2:70" s="53" customFormat="1" ht="55.9" customHeight="1" x14ac:dyDescent="0.2">
      <c r="B75" s="53" t="s">
        <v>203</v>
      </c>
      <c r="C75" s="40" t="s">
        <v>26</v>
      </c>
      <c r="D75" s="21" t="s">
        <v>548</v>
      </c>
      <c r="E75" s="88" t="s">
        <v>586</v>
      </c>
      <c r="F75" s="144" t="s">
        <v>667</v>
      </c>
      <c r="G75" s="21">
        <v>5</v>
      </c>
      <c r="H75" s="21">
        <f>'CRF Workbook'!G378</f>
        <v>5</v>
      </c>
      <c r="I75" s="21">
        <v>3</v>
      </c>
      <c r="J75" s="21">
        <f t="shared" ref="J75:J83" si="23">I75-H75</f>
        <v>-2</v>
      </c>
      <c r="K75" s="195" t="str">
        <f t="shared" si="22"/>
        <v>Advanced</v>
      </c>
      <c r="L75" s="21" t="s">
        <v>30</v>
      </c>
      <c r="M75" s="21"/>
      <c r="N75" s="21"/>
      <c r="O75" s="21"/>
      <c r="P75" s="21"/>
      <c r="Q75" s="112"/>
      <c r="R75" s="113">
        <v>0</v>
      </c>
      <c r="S75" s="113"/>
      <c r="T75" s="113"/>
      <c r="U75" s="113"/>
      <c r="V75" s="11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109"/>
    </row>
    <row r="76" spans="2:70" s="53" customFormat="1" ht="55.9" customHeight="1" x14ac:dyDescent="0.2">
      <c r="C76" s="40" t="s">
        <v>26</v>
      </c>
      <c r="D76" s="21" t="s">
        <v>548</v>
      </c>
      <c r="E76" s="88" t="s">
        <v>587</v>
      </c>
      <c r="F76" s="144" t="s">
        <v>668</v>
      </c>
      <c r="G76" s="21">
        <v>1</v>
      </c>
      <c r="H76" s="21">
        <f>'CRF Workbook'!G382</f>
        <v>5</v>
      </c>
      <c r="I76" s="21">
        <v>3</v>
      </c>
      <c r="J76" s="21">
        <f t="shared" si="23"/>
        <v>-2</v>
      </c>
      <c r="K76" s="195" t="str">
        <f t="shared" si="22"/>
        <v>Advanced</v>
      </c>
      <c r="L76" s="21" t="s">
        <v>30</v>
      </c>
      <c r="M76" s="21"/>
      <c r="N76" s="21"/>
      <c r="O76" s="21"/>
      <c r="P76" s="21"/>
      <c r="Q76" s="91"/>
      <c r="R76" s="106">
        <v>0</v>
      </c>
      <c r="S76" s="107">
        <v>0</v>
      </c>
      <c r="T76" s="106">
        <v>0</v>
      </c>
      <c r="U76" s="107">
        <v>0</v>
      </c>
      <c r="V76" s="108">
        <v>0</v>
      </c>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109"/>
    </row>
    <row r="77" spans="2:70" s="53" customFormat="1" ht="55.9" customHeight="1" x14ac:dyDescent="0.2">
      <c r="C77" s="40" t="s">
        <v>26</v>
      </c>
      <c r="D77" s="21" t="s">
        <v>548</v>
      </c>
      <c r="E77" s="88" t="s">
        <v>588</v>
      </c>
      <c r="F77" s="144" t="s">
        <v>669</v>
      </c>
      <c r="G77" s="21">
        <v>2</v>
      </c>
      <c r="H77" s="21">
        <f>'CRF Workbook'!G392</f>
        <v>2</v>
      </c>
      <c r="I77" s="21">
        <v>3</v>
      </c>
      <c r="J77" s="21">
        <f t="shared" si="23"/>
        <v>1</v>
      </c>
      <c r="K77" s="195" t="str">
        <f t="shared" si="22"/>
        <v>Partial Target</v>
      </c>
      <c r="L77" s="21" t="s">
        <v>30</v>
      </c>
      <c r="M77" s="21"/>
      <c r="N77" s="21"/>
      <c r="O77" s="21"/>
      <c r="P77" s="21"/>
      <c r="Q77" s="91"/>
      <c r="R77" s="110">
        <v>0</v>
      </c>
      <c r="S77" s="110">
        <v>0</v>
      </c>
      <c r="T77" s="110">
        <v>0</v>
      </c>
      <c r="U77" s="110">
        <v>0</v>
      </c>
      <c r="V77" s="111">
        <v>0</v>
      </c>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109"/>
    </row>
    <row r="78" spans="2:70" s="53" customFormat="1" ht="55.9" customHeight="1" x14ac:dyDescent="0.2">
      <c r="C78" s="40" t="s">
        <v>26</v>
      </c>
      <c r="D78" s="21" t="s">
        <v>548</v>
      </c>
      <c r="E78" s="88" t="s">
        <v>589</v>
      </c>
      <c r="F78" s="144" t="s">
        <v>670</v>
      </c>
      <c r="G78" s="21">
        <v>2</v>
      </c>
      <c r="H78" s="21">
        <f>'CRF Workbook'!G397</f>
        <v>2</v>
      </c>
      <c r="I78" s="21">
        <v>3</v>
      </c>
      <c r="J78" s="21">
        <f t="shared" si="23"/>
        <v>1</v>
      </c>
      <c r="K78" s="195" t="str">
        <f t="shared" si="22"/>
        <v>Partial Target</v>
      </c>
      <c r="L78" s="21" t="s">
        <v>30</v>
      </c>
      <c r="M78" s="21"/>
      <c r="N78" s="21"/>
      <c r="O78" s="21"/>
      <c r="P78" s="21"/>
      <c r="Q78" s="91"/>
      <c r="R78" s="110">
        <v>0</v>
      </c>
      <c r="S78" s="110">
        <v>0</v>
      </c>
      <c r="T78" s="110">
        <v>0</v>
      </c>
      <c r="U78" s="110">
        <v>0</v>
      </c>
      <c r="V78" s="111">
        <v>0</v>
      </c>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109"/>
    </row>
    <row r="79" spans="2:70" s="53" customFormat="1" ht="55.9" customHeight="1" x14ac:dyDescent="0.2">
      <c r="C79" s="40" t="s">
        <v>26</v>
      </c>
      <c r="D79" s="21" t="s">
        <v>548</v>
      </c>
      <c r="E79" s="88" t="s">
        <v>590</v>
      </c>
      <c r="F79" s="144" t="s">
        <v>671</v>
      </c>
      <c r="G79" s="21">
        <v>5</v>
      </c>
      <c r="H79" s="21">
        <f>'CRF Workbook'!G402</f>
        <v>5</v>
      </c>
      <c r="I79" s="21">
        <v>3</v>
      </c>
      <c r="J79" s="21">
        <f t="shared" si="23"/>
        <v>-2</v>
      </c>
      <c r="K79" s="195" t="str">
        <f t="shared" si="22"/>
        <v>Advanced</v>
      </c>
      <c r="L79" s="21" t="s">
        <v>30</v>
      </c>
      <c r="M79" s="21"/>
      <c r="N79" s="21"/>
      <c r="O79" s="21"/>
      <c r="P79" s="21"/>
      <c r="Q79" s="91"/>
      <c r="R79" s="110">
        <v>0</v>
      </c>
      <c r="S79" s="110">
        <v>0</v>
      </c>
      <c r="T79" s="110">
        <v>0</v>
      </c>
      <c r="U79" s="110">
        <v>0</v>
      </c>
      <c r="V79" s="111">
        <v>0</v>
      </c>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109"/>
    </row>
    <row r="80" spans="2:70" s="53" customFormat="1" ht="55.9" customHeight="1" x14ac:dyDescent="0.2">
      <c r="C80" s="40" t="s">
        <v>26</v>
      </c>
      <c r="D80" s="21" t="s">
        <v>548</v>
      </c>
      <c r="E80" s="88" t="s">
        <v>591</v>
      </c>
      <c r="F80" s="144" t="s">
        <v>672</v>
      </c>
      <c r="G80" s="21">
        <v>5</v>
      </c>
      <c r="H80" s="21">
        <f>'CRF Workbook'!G406</f>
        <v>5</v>
      </c>
      <c r="I80" s="21">
        <v>3</v>
      </c>
      <c r="J80" s="21">
        <f t="shared" si="23"/>
        <v>-2</v>
      </c>
      <c r="K80" s="195" t="str">
        <f t="shared" si="22"/>
        <v>Advanced</v>
      </c>
      <c r="L80" s="21" t="s">
        <v>30</v>
      </c>
      <c r="M80" s="21"/>
      <c r="N80" s="21"/>
      <c r="O80" s="21"/>
      <c r="P80" s="21"/>
      <c r="Q80" s="91"/>
      <c r="R80" s="110">
        <v>0</v>
      </c>
      <c r="S80" s="110">
        <v>0</v>
      </c>
      <c r="T80" s="110">
        <v>0</v>
      </c>
      <c r="U80" s="110">
        <v>0</v>
      </c>
      <c r="V80" s="111">
        <v>0</v>
      </c>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109"/>
    </row>
    <row r="81" spans="3:70" s="53" customFormat="1" ht="55.9" customHeight="1" x14ac:dyDescent="0.2">
      <c r="C81" s="40" t="s">
        <v>26</v>
      </c>
      <c r="D81" s="21" t="s">
        <v>548</v>
      </c>
      <c r="E81" s="88" t="s">
        <v>592</v>
      </c>
      <c r="F81" s="144" t="s">
        <v>673</v>
      </c>
      <c r="G81" s="21">
        <v>5</v>
      </c>
      <c r="H81" s="21">
        <f>'CRF Workbook'!G412</f>
        <v>5</v>
      </c>
      <c r="I81" s="21">
        <v>3</v>
      </c>
      <c r="J81" s="21">
        <f t="shared" si="23"/>
        <v>-2</v>
      </c>
      <c r="K81" s="195" t="str">
        <f t="shared" si="22"/>
        <v>Advanced</v>
      </c>
      <c r="L81" s="21" t="s">
        <v>30</v>
      </c>
      <c r="M81" s="21"/>
      <c r="N81" s="21"/>
      <c r="O81" s="21"/>
      <c r="P81" s="21"/>
      <c r="Q81" s="91"/>
      <c r="R81" s="110">
        <v>0</v>
      </c>
      <c r="S81" s="110">
        <v>0</v>
      </c>
      <c r="T81" s="110">
        <v>0</v>
      </c>
      <c r="U81" s="110">
        <v>0</v>
      </c>
      <c r="V81" s="111">
        <v>0</v>
      </c>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109"/>
    </row>
    <row r="82" spans="3:70" s="53" customFormat="1" ht="55.9" customHeight="1" x14ac:dyDescent="0.2">
      <c r="C82" s="40" t="s">
        <v>26</v>
      </c>
      <c r="D82" s="21" t="s">
        <v>548</v>
      </c>
      <c r="E82" s="185" t="s">
        <v>593</v>
      </c>
      <c r="F82" s="144" t="s">
        <v>674</v>
      </c>
      <c r="G82" s="21">
        <v>1</v>
      </c>
      <c r="H82" s="21">
        <f>'CRF Workbook'!G423</f>
        <v>1</v>
      </c>
      <c r="I82" s="21">
        <v>3</v>
      </c>
      <c r="J82" s="21">
        <f t="shared" si="23"/>
        <v>2</v>
      </c>
      <c r="K82" s="195" t="str">
        <f t="shared" si="22"/>
        <v>Baseline</v>
      </c>
      <c r="L82" s="21" t="s">
        <v>30</v>
      </c>
      <c r="M82" s="21"/>
      <c r="N82" s="21"/>
      <c r="O82" s="21"/>
      <c r="P82" s="21"/>
      <c r="Q82" s="91"/>
      <c r="R82" s="110">
        <v>0</v>
      </c>
      <c r="S82" s="110">
        <v>0</v>
      </c>
      <c r="T82" s="110">
        <v>0</v>
      </c>
      <c r="U82" s="110">
        <v>0</v>
      </c>
      <c r="V82" s="111">
        <v>0</v>
      </c>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109"/>
    </row>
    <row r="83" spans="3:70" s="53" customFormat="1" ht="55.9" customHeight="1" x14ac:dyDescent="0.2">
      <c r="C83" s="40" t="s">
        <v>26</v>
      </c>
      <c r="D83" s="21" t="s">
        <v>548</v>
      </c>
      <c r="E83" s="88" t="s">
        <v>594</v>
      </c>
      <c r="F83" s="144" t="s">
        <v>675</v>
      </c>
      <c r="G83" s="21">
        <v>5</v>
      </c>
      <c r="H83" s="21">
        <f>'CRF Workbook'!G427</f>
        <v>5</v>
      </c>
      <c r="I83" s="21">
        <v>3</v>
      </c>
      <c r="J83" s="21">
        <f t="shared" si="23"/>
        <v>-2</v>
      </c>
      <c r="K83" s="195" t="str">
        <f t="shared" si="22"/>
        <v>Advanced</v>
      </c>
      <c r="L83" s="21" t="s">
        <v>30</v>
      </c>
      <c r="M83" s="21"/>
      <c r="N83" s="21"/>
      <c r="O83" s="21"/>
      <c r="P83" s="21"/>
      <c r="Q83" s="91"/>
      <c r="R83" s="110">
        <v>0</v>
      </c>
      <c r="S83" s="110">
        <v>0</v>
      </c>
      <c r="T83" s="110">
        <v>0</v>
      </c>
      <c r="U83" s="110">
        <v>0</v>
      </c>
      <c r="V83" s="111">
        <v>0</v>
      </c>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109"/>
    </row>
    <row r="84" spans="3:70" s="53" customFormat="1" ht="55.9" customHeight="1" x14ac:dyDescent="0.2">
      <c r="C84" s="40"/>
      <c r="D84" s="21"/>
      <c r="E84" s="66" t="s">
        <v>38</v>
      </c>
      <c r="F84" s="67"/>
      <c r="G84" s="226">
        <f>AVERAGE(G74:G82)</f>
        <v>3.4444444444444446</v>
      </c>
      <c r="H84" s="226">
        <f>AVERAGE(H74:H82)</f>
        <v>3.8888888888888888</v>
      </c>
      <c r="I84" s="233">
        <f>AVERAGE(I75:I83)</f>
        <v>3</v>
      </c>
      <c r="J84" s="22">
        <f>AVERAGE(J74:J83)</f>
        <v>-1</v>
      </c>
      <c r="K84" s="22"/>
      <c r="L84" s="23" t="s">
        <v>16</v>
      </c>
      <c r="M84" s="72"/>
      <c r="N84" s="73"/>
      <c r="O84" s="73"/>
      <c r="P84" s="74"/>
      <c r="Q84" s="91"/>
      <c r="R84" s="110">
        <v>0</v>
      </c>
      <c r="S84" s="110">
        <v>0</v>
      </c>
      <c r="T84" s="110">
        <v>0</v>
      </c>
      <c r="U84" s="110">
        <v>0</v>
      </c>
      <c r="V84" s="111">
        <v>0</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109"/>
    </row>
    <row r="85" spans="3:70" s="53" customFormat="1" ht="55.9" customHeight="1" x14ac:dyDescent="0.2">
      <c r="C85" s="429" t="s">
        <v>595</v>
      </c>
      <c r="D85" s="430"/>
      <c r="E85" s="430"/>
      <c r="F85" s="430"/>
      <c r="G85" s="430"/>
      <c r="H85" s="430"/>
      <c r="I85" s="430"/>
      <c r="J85" s="430"/>
      <c r="K85" s="430"/>
      <c r="L85" s="430"/>
      <c r="M85" s="430"/>
      <c r="N85" s="430"/>
      <c r="O85" s="430"/>
      <c r="P85" s="431"/>
      <c r="Q85" s="91"/>
      <c r="R85" s="110">
        <v>0</v>
      </c>
      <c r="S85" s="110">
        <v>0</v>
      </c>
      <c r="T85" s="110">
        <v>0</v>
      </c>
      <c r="U85" s="110">
        <v>0</v>
      </c>
      <c r="V85" s="111">
        <v>0</v>
      </c>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109"/>
    </row>
    <row r="86" spans="3:70" s="53" customFormat="1" ht="55.9" customHeight="1" x14ac:dyDescent="0.2">
      <c r="C86" s="40" t="s">
        <v>26</v>
      </c>
      <c r="D86" s="21" t="s">
        <v>548</v>
      </c>
      <c r="E86" s="88" t="s">
        <v>596</v>
      </c>
      <c r="F86" s="144" t="s">
        <v>676</v>
      </c>
      <c r="G86" s="21">
        <v>2</v>
      </c>
      <c r="H86" s="21">
        <f>'CRF Workbook'!G434</f>
        <v>5</v>
      </c>
      <c r="I86" s="21">
        <v>3</v>
      </c>
      <c r="J86" s="21">
        <f t="shared" ref="J86:J95" si="24">I86-H86</f>
        <v>-2</v>
      </c>
      <c r="K86" s="195" t="str">
        <f t="shared" ref="K86:K95" si="25">VLOOKUP(H86,$BW$5:$BX$10,2,TRUE)</f>
        <v>Advanced</v>
      </c>
      <c r="L86" s="21" t="s">
        <v>30</v>
      </c>
      <c r="M86" s="21"/>
      <c r="N86" s="21"/>
      <c r="O86" s="21"/>
      <c r="P86" s="21"/>
      <c r="Q86" s="91"/>
      <c r="R86" s="110">
        <v>0</v>
      </c>
      <c r="S86" s="110">
        <v>0</v>
      </c>
      <c r="T86" s="110">
        <v>0</v>
      </c>
      <c r="U86" s="110">
        <v>0</v>
      </c>
      <c r="V86" s="111">
        <v>0</v>
      </c>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109"/>
    </row>
    <row r="87" spans="3:70" s="53" customFormat="1" ht="55.9" customHeight="1" x14ac:dyDescent="0.2">
      <c r="C87" s="40" t="s">
        <v>26</v>
      </c>
      <c r="D87" s="21" t="s">
        <v>548</v>
      </c>
      <c r="E87" s="88" t="s">
        <v>597</v>
      </c>
      <c r="F87" s="144" t="s">
        <v>677</v>
      </c>
      <c r="G87" s="21">
        <v>2</v>
      </c>
      <c r="H87" s="21">
        <f>'CRF Workbook'!G445</f>
        <v>2</v>
      </c>
      <c r="I87" s="21">
        <v>3</v>
      </c>
      <c r="J87" s="21">
        <f t="shared" si="24"/>
        <v>1</v>
      </c>
      <c r="K87" s="195" t="str">
        <f t="shared" si="25"/>
        <v>Partial Target</v>
      </c>
      <c r="L87" s="21" t="s">
        <v>30</v>
      </c>
      <c r="M87" s="21"/>
      <c r="N87" s="21"/>
      <c r="O87" s="21"/>
      <c r="P87" s="21"/>
      <c r="Q87" s="91"/>
      <c r="R87" s="110">
        <v>0</v>
      </c>
      <c r="S87" s="110">
        <v>0</v>
      </c>
      <c r="T87" s="110">
        <v>0</v>
      </c>
      <c r="U87" s="110">
        <v>0</v>
      </c>
      <c r="V87" s="111">
        <v>0</v>
      </c>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09"/>
    </row>
    <row r="88" spans="3:70" s="53" customFormat="1" ht="55.9" customHeight="1" x14ac:dyDescent="0.2">
      <c r="C88" s="40" t="s">
        <v>26</v>
      </c>
      <c r="D88" s="21" t="s">
        <v>548</v>
      </c>
      <c r="E88" s="88" t="s">
        <v>598</v>
      </c>
      <c r="F88" s="144" t="s">
        <v>678</v>
      </c>
      <c r="G88" s="21">
        <v>2</v>
      </c>
      <c r="H88" s="21">
        <f>'CRF Workbook'!G450</f>
        <v>2</v>
      </c>
      <c r="I88" s="21">
        <v>3</v>
      </c>
      <c r="J88" s="21">
        <f t="shared" si="24"/>
        <v>1</v>
      </c>
      <c r="K88" s="195" t="str">
        <f t="shared" si="25"/>
        <v>Partial Target</v>
      </c>
      <c r="L88" s="21" t="s">
        <v>30</v>
      </c>
      <c r="M88" s="21"/>
      <c r="N88" s="21"/>
      <c r="O88" s="21"/>
      <c r="P88" s="21"/>
      <c r="Q88" s="91"/>
      <c r="R88" s="110">
        <v>0</v>
      </c>
      <c r="S88" s="110">
        <v>0</v>
      </c>
      <c r="T88" s="110">
        <v>0</v>
      </c>
      <c r="U88" s="110">
        <v>0</v>
      </c>
      <c r="V88" s="111">
        <v>0</v>
      </c>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09"/>
    </row>
    <row r="89" spans="3:70" s="53" customFormat="1" ht="55.9" customHeight="1" x14ac:dyDescent="0.2">
      <c r="C89" s="40" t="s">
        <v>26</v>
      </c>
      <c r="D89" s="21" t="s">
        <v>548</v>
      </c>
      <c r="E89" s="88" t="s">
        <v>599</v>
      </c>
      <c r="F89" s="144" t="s">
        <v>679</v>
      </c>
      <c r="G89" s="21">
        <v>0</v>
      </c>
      <c r="H89" s="21">
        <f>'CRF Workbook'!G458</f>
        <v>0</v>
      </c>
      <c r="I89" s="21">
        <v>3</v>
      </c>
      <c r="J89" s="21">
        <f t="shared" si="24"/>
        <v>3</v>
      </c>
      <c r="K89" s="195" t="str">
        <f t="shared" si="25"/>
        <v>Partial Baseline</v>
      </c>
      <c r="L89" s="21" t="s">
        <v>30</v>
      </c>
      <c r="M89" s="21"/>
      <c r="N89" s="21"/>
      <c r="O89" s="21"/>
      <c r="P89" s="21"/>
      <c r="Q89" s="91"/>
      <c r="R89" s="110">
        <v>0</v>
      </c>
      <c r="S89" s="110">
        <v>0</v>
      </c>
      <c r="T89" s="110">
        <v>0</v>
      </c>
      <c r="U89" s="110">
        <v>0</v>
      </c>
      <c r="V89" s="111">
        <v>0</v>
      </c>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09"/>
    </row>
    <row r="90" spans="3:70" s="53" customFormat="1" ht="55.9" customHeight="1" x14ac:dyDescent="0.2">
      <c r="C90" s="40" t="s">
        <v>26</v>
      </c>
      <c r="D90" s="21" t="s">
        <v>548</v>
      </c>
      <c r="E90" s="88" t="s">
        <v>600</v>
      </c>
      <c r="F90" s="144" t="s">
        <v>680</v>
      </c>
      <c r="G90" s="21">
        <v>0</v>
      </c>
      <c r="H90" s="21">
        <f>'CRF Workbook'!G464</f>
        <v>5</v>
      </c>
      <c r="I90" s="21">
        <v>3</v>
      </c>
      <c r="J90" s="21">
        <f t="shared" si="24"/>
        <v>-2</v>
      </c>
      <c r="K90" s="195" t="str">
        <f t="shared" si="25"/>
        <v>Advanced</v>
      </c>
      <c r="L90" s="21" t="s">
        <v>30</v>
      </c>
      <c r="M90" s="21"/>
      <c r="N90" s="21"/>
      <c r="O90" s="21"/>
      <c r="P90" s="21"/>
      <c r="Q90" s="91"/>
      <c r="R90" s="110">
        <v>0</v>
      </c>
      <c r="S90" s="110">
        <v>0</v>
      </c>
      <c r="T90" s="110">
        <v>0</v>
      </c>
      <c r="U90" s="110">
        <v>0</v>
      </c>
      <c r="V90" s="111">
        <v>0</v>
      </c>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109"/>
    </row>
    <row r="91" spans="3:70" s="53" customFormat="1" ht="55.9" customHeight="1" x14ac:dyDescent="0.2">
      <c r="C91" s="40" t="s">
        <v>26</v>
      </c>
      <c r="D91" s="21" t="s">
        <v>548</v>
      </c>
      <c r="E91" s="88" t="s">
        <v>601</v>
      </c>
      <c r="F91" s="144" t="s">
        <v>681</v>
      </c>
      <c r="G91" s="21">
        <v>5</v>
      </c>
      <c r="H91" s="21">
        <f>'CRF Workbook'!F474</f>
        <v>5</v>
      </c>
      <c r="I91" s="21">
        <v>3</v>
      </c>
      <c r="J91" s="21">
        <f t="shared" si="24"/>
        <v>-2</v>
      </c>
      <c r="K91" s="195" t="str">
        <f t="shared" si="25"/>
        <v>Advanced</v>
      </c>
      <c r="L91" s="21" t="s">
        <v>30</v>
      </c>
      <c r="M91" s="21"/>
      <c r="N91" s="21"/>
      <c r="O91" s="21"/>
      <c r="P91" s="21"/>
      <c r="Q91" s="91"/>
      <c r="R91" s="110">
        <v>0</v>
      </c>
      <c r="S91" s="110">
        <v>0</v>
      </c>
      <c r="T91" s="110">
        <v>0</v>
      </c>
      <c r="U91" s="110">
        <v>0</v>
      </c>
      <c r="V91" s="111">
        <v>0</v>
      </c>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109"/>
    </row>
    <row r="92" spans="3:70" s="53" customFormat="1" ht="55.9" customHeight="1" x14ac:dyDescent="0.2">
      <c r="C92" s="40" t="s">
        <v>26</v>
      </c>
      <c r="D92" s="21" t="s">
        <v>548</v>
      </c>
      <c r="E92" s="88" t="s">
        <v>602</v>
      </c>
      <c r="F92" s="144" t="s">
        <v>682</v>
      </c>
      <c r="G92" s="21">
        <v>5</v>
      </c>
      <c r="H92" s="21">
        <f>'CRF Workbook'!G480</f>
        <v>5</v>
      </c>
      <c r="I92" s="21">
        <v>3</v>
      </c>
      <c r="J92" s="21">
        <f t="shared" si="24"/>
        <v>-2</v>
      </c>
      <c r="K92" s="195" t="str">
        <f t="shared" si="25"/>
        <v>Advanced</v>
      </c>
      <c r="L92" s="21" t="s">
        <v>30</v>
      </c>
      <c r="M92" s="21"/>
      <c r="N92" s="21"/>
      <c r="O92" s="21"/>
      <c r="P92" s="21"/>
      <c r="Q92" s="91"/>
      <c r="R92" s="110">
        <v>0</v>
      </c>
      <c r="S92" s="110">
        <v>0</v>
      </c>
      <c r="T92" s="110">
        <v>0</v>
      </c>
      <c r="U92" s="110">
        <v>0</v>
      </c>
      <c r="V92" s="111">
        <v>0</v>
      </c>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109"/>
    </row>
    <row r="93" spans="3:70" s="53" customFormat="1" ht="55.9" customHeight="1" x14ac:dyDescent="0.2">
      <c r="C93" s="40" t="s">
        <v>26</v>
      </c>
      <c r="D93" s="21" t="s">
        <v>548</v>
      </c>
      <c r="E93" s="88" t="s">
        <v>603</v>
      </c>
      <c r="F93" s="144" t="s">
        <v>683</v>
      </c>
      <c r="G93" s="21">
        <v>5</v>
      </c>
      <c r="H93" s="21">
        <f>'CRF Workbook'!G484</f>
        <v>5</v>
      </c>
      <c r="I93" s="21">
        <v>3</v>
      </c>
      <c r="J93" s="21">
        <f t="shared" si="24"/>
        <v>-2</v>
      </c>
      <c r="K93" s="195" t="str">
        <f t="shared" si="25"/>
        <v>Advanced</v>
      </c>
      <c r="L93" s="21" t="s">
        <v>30</v>
      </c>
      <c r="M93" s="21"/>
      <c r="N93" s="21"/>
      <c r="O93" s="21"/>
      <c r="P93" s="21"/>
      <c r="Q93" s="91"/>
      <c r="R93" s="110">
        <v>0</v>
      </c>
      <c r="S93" s="110">
        <v>0</v>
      </c>
      <c r="T93" s="110">
        <v>0</v>
      </c>
      <c r="U93" s="110">
        <v>0</v>
      </c>
      <c r="V93" s="111">
        <v>0</v>
      </c>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109"/>
    </row>
    <row r="94" spans="3:70" s="53" customFormat="1" ht="55.9" customHeight="1" x14ac:dyDescent="0.2">
      <c r="C94" s="40" t="s">
        <v>26</v>
      </c>
      <c r="D94" s="21" t="s">
        <v>548</v>
      </c>
      <c r="E94" s="88" t="s">
        <v>604</v>
      </c>
      <c r="F94" s="144" t="s">
        <v>684</v>
      </c>
      <c r="G94" s="21">
        <v>2</v>
      </c>
      <c r="H94" s="21">
        <f>'CRF Workbook'!G490</f>
        <v>2</v>
      </c>
      <c r="I94" s="21">
        <v>3</v>
      </c>
      <c r="J94" s="21">
        <f t="shared" si="24"/>
        <v>1</v>
      </c>
      <c r="K94" s="195" t="str">
        <f t="shared" si="25"/>
        <v>Partial Target</v>
      </c>
      <c r="L94" s="21" t="s">
        <v>30</v>
      </c>
      <c r="M94" s="21"/>
      <c r="N94" s="21"/>
      <c r="O94" s="21"/>
      <c r="P94" s="21"/>
      <c r="Q94" s="91"/>
      <c r="R94" s="110">
        <v>0</v>
      </c>
      <c r="S94" s="110">
        <v>0</v>
      </c>
      <c r="T94" s="110">
        <v>0</v>
      </c>
      <c r="U94" s="110">
        <v>0</v>
      </c>
      <c r="V94" s="111">
        <v>0</v>
      </c>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109"/>
    </row>
    <row r="95" spans="3:70" s="53" customFormat="1" ht="55.9" customHeight="1" x14ac:dyDescent="0.2">
      <c r="C95" s="40" t="s">
        <v>26</v>
      </c>
      <c r="D95" s="21" t="s">
        <v>548</v>
      </c>
      <c r="E95" s="88" t="s">
        <v>605</v>
      </c>
      <c r="F95" s="144" t="s">
        <v>685</v>
      </c>
      <c r="G95" s="21">
        <v>5</v>
      </c>
      <c r="H95" s="21">
        <f>'CRF Workbook'!G495</f>
        <v>5</v>
      </c>
      <c r="I95" s="21">
        <v>3</v>
      </c>
      <c r="J95" s="21">
        <f t="shared" si="24"/>
        <v>-2</v>
      </c>
      <c r="K95" s="195" t="str">
        <f t="shared" si="25"/>
        <v>Advanced</v>
      </c>
      <c r="L95" s="21" t="s">
        <v>30</v>
      </c>
      <c r="M95" s="21"/>
      <c r="N95" s="21"/>
      <c r="O95" s="21"/>
      <c r="P95" s="21"/>
      <c r="Q95" s="91"/>
      <c r="R95" s="110">
        <v>0</v>
      </c>
      <c r="S95" s="110">
        <v>0</v>
      </c>
      <c r="T95" s="110">
        <v>0</v>
      </c>
      <c r="U95" s="110">
        <v>0</v>
      </c>
      <c r="V95" s="111">
        <v>0</v>
      </c>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109"/>
    </row>
    <row r="96" spans="3:70" s="53" customFormat="1" ht="55.9" customHeight="1" x14ac:dyDescent="0.2">
      <c r="C96" s="40"/>
      <c r="D96" s="21"/>
      <c r="E96" s="66" t="s">
        <v>38</v>
      </c>
      <c r="F96" s="67"/>
      <c r="G96" s="22">
        <f>AVERAGE(G86:G95)</f>
        <v>2.8</v>
      </c>
      <c r="H96" s="22">
        <f>AVERAGE(H86:H95)</f>
        <v>3.6</v>
      </c>
      <c r="I96" s="22">
        <f>AVERAGE(I86:I95)</f>
        <v>3</v>
      </c>
      <c r="J96" s="22">
        <f>AVERAGE(J86:J95)</f>
        <v>-0.6</v>
      </c>
      <c r="K96" s="22"/>
      <c r="L96" s="23" t="s">
        <v>16</v>
      </c>
      <c r="M96" s="72"/>
      <c r="N96" s="73"/>
      <c r="O96" s="73"/>
      <c r="P96" s="74"/>
      <c r="Q96" s="91"/>
      <c r="R96" s="110">
        <v>0</v>
      </c>
      <c r="S96" s="110">
        <v>0</v>
      </c>
      <c r="T96" s="110">
        <v>0</v>
      </c>
      <c r="U96" s="110">
        <v>0</v>
      </c>
      <c r="V96" s="111">
        <v>0</v>
      </c>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09"/>
    </row>
    <row r="97" spans="2:70" s="53" customFormat="1" ht="55.9" customHeight="1" x14ac:dyDescent="0.2">
      <c r="C97" s="429" t="s">
        <v>606</v>
      </c>
      <c r="D97" s="430"/>
      <c r="E97" s="430"/>
      <c r="F97" s="430"/>
      <c r="G97" s="430"/>
      <c r="H97" s="430"/>
      <c r="I97" s="430"/>
      <c r="J97" s="430"/>
      <c r="K97" s="430"/>
      <c r="L97" s="430"/>
      <c r="M97" s="430"/>
      <c r="N97" s="430"/>
      <c r="O97" s="430"/>
      <c r="P97" s="431"/>
      <c r="Q97" s="91"/>
      <c r="R97" s="110">
        <v>0</v>
      </c>
      <c r="S97" s="110">
        <v>0</v>
      </c>
      <c r="T97" s="110">
        <v>0</v>
      </c>
      <c r="U97" s="110">
        <v>0</v>
      </c>
      <c r="V97" s="111">
        <v>0</v>
      </c>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09"/>
    </row>
    <row r="98" spans="2:70" s="53" customFormat="1" ht="55.9" customHeight="1" x14ac:dyDescent="0.2">
      <c r="B98" s="53" t="s">
        <v>259</v>
      </c>
      <c r="C98" s="40" t="s">
        <v>26</v>
      </c>
      <c r="D98" s="21" t="s">
        <v>607</v>
      </c>
      <c r="E98" s="139" t="s">
        <v>608</v>
      </c>
      <c r="F98" s="144" t="s">
        <v>686</v>
      </c>
      <c r="G98" s="21">
        <v>1</v>
      </c>
      <c r="H98" s="21">
        <f>'CRF Workbook'!G506</f>
        <v>1</v>
      </c>
      <c r="I98" s="21">
        <v>3</v>
      </c>
      <c r="J98" s="21">
        <f t="shared" ref="J98:J99" si="26">I98-H98</f>
        <v>2</v>
      </c>
      <c r="K98" s="195" t="str">
        <f t="shared" ref="K98:K99" si="27">VLOOKUP(H98,$BW$5:$BX$10,2,TRUE)</f>
        <v>Baseline</v>
      </c>
      <c r="L98" s="21" t="s">
        <v>30</v>
      </c>
      <c r="M98" s="21"/>
      <c r="N98" s="21"/>
      <c r="O98" s="21"/>
      <c r="P98" s="21"/>
      <c r="Q98" s="112"/>
      <c r="R98" s="113">
        <v>0</v>
      </c>
      <c r="S98" s="113"/>
      <c r="T98" s="113"/>
      <c r="U98" s="113"/>
      <c r="V98" s="11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109"/>
    </row>
    <row r="99" spans="2:70" s="53" customFormat="1" ht="55.9" customHeight="1" x14ac:dyDescent="0.2">
      <c r="C99" s="40" t="s">
        <v>26</v>
      </c>
      <c r="D99" s="21" t="s">
        <v>607</v>
      </c>
      <c r="E99" s="143" t="s">
        <v>609</v>
      </c>
      <c r="F99" s="144" t="s">
        <v>687</v>
      </c>
      <c r="G99" s="21">
        <v>1</v>
      </c>
      <c r="H99" s="21">
        <f>'CRF Workbook'!G520</f>
        <v>1</v>
      </c>
      <c r="I99" s="21">
        <v>3</v>
      </c>
      <c r="J99" s="21">
        <f t="shared" si="26"/>
        <v>2</v>
      </c>
      <c r="K99" s="195" t="str">
        <f t="shared" si="27"/>
        <v>Baseline</v>
      </c>
      <c r="L99" s="21" t="s">
        <v>30</v>
      </c>
      <c r="M99" s="21"/>
      <c r="N99" s="21"/>
      <c r="O99" s="21"/>
      <c r="P99" s="21"/>
      <c r="Q99" s="91"/>
      <c r="R99" s="106">
        <v>0</v>
      </c>
      <c r="S99" s="107">
        <v>0</v>
      </c>
      <c r="T99" s="106">
        <v>0</v>
      </c>
      <c r="U99" s="107">
        <v>0</v>
      </c>
      <c r="V99" s="108">
        <v>0</v>
      </c>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109"/>
    </row>
    <row r="100" spans="2:70" s="53" customFormat="1" ht="55.9" customHeight="1" x14ac:dyDescent="0.2">
      <c r="C100" s="40"/>
      <c r="D100" s="21"/>
      <c r="E100" s="66" t="s">
        <v>38</v>
      </c>
      <c r="F100" s="67"/>
      <c r="G100" s="22">
        <f>AVERAGE(G98:G98)</f>
        <v>1</v>
      </c>
      <c r="H100" s="22">
        <f>AVERAGE(H98:H98)</f>
        <v>1</v>
      </c>
      <c r="I100" s="22">
        <f>AVERAGE(I98:I98)</f>
        <v>3</v>
      </c>
      <c r="J100" s="22">
        <f>AVERAGE(J98:J98)</f>
        <v>2</v>
      </c>
      <c r="K100" s="22"/>
      <c r="L100" s="23" t="s">
        <v>16</v>
      </c>
      <c r="M100" s="72"/>
      <c r="N100" s="73"/>
      <c r="O100" s="73"/>
      <c r="P100" s="74"/>
      <c r="Q100" s="91"/>
      <c r="R100" s="110">
        <v>0</v>
      </c>
      <c r="S100" s="110">
        <v>0</v>
      </c>
      <c r="T100" s="110">
        <v>0</v>
      </c>
      <c r="U100" s="110">
        <v>0</v>
      </c>
      <c r="V100" s="111">
        <v>0</v>
      </c>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109"/>
    </row>
    <row r="101" spans="2:70" s="53" customFormat="1" ht="55.9" customHeight="1" x14ac:dyDescent="0.2">
      <c r="C101" s="429" t="s">
        <v>610</v>
      </c>
      <c r="D101" s="430"/>
      <c r="E101" s="430"/>
      <c r="F101" s="430"/>
      <c r="G101" s="430"/>
      <c r="H101" s="430"/>
      <c r="I101" s="430"/>
      <c r="J101" s="430"/>
      <c r="K101" s="430"/>
      <c r="L101" s="430"/>
      <c r="M101" s="430"/>
      <c r="N101" s="430"/>
      <c r="O101" s="430"/>
      <c r="P101" s="431"/>
      <c r="Q101" s="91"/>
      <c r="R101" s="110">
        <v>0</v>
      </c>
      <c r="S101" s="110">
        <v>0</v>
      </c>
      <c r="T101" s="110">
        <v>0</v>
      </c>
      <c r="U101" s="110">
        <v>0</v>
      </c>
      <c r="V101" s="111">
        <v>0</v>
      </c>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109"/>
    </row>
    <row r="102" spans="2:70" s="53" customFormat="1" ht="55.9" customHeight="1" x14ac:dyDescent="0.2">
      <c r="B102" s="53" t="s">
        <v>267</v>
      </c>
      <c r="C102" s="40" t="s">
        <v>26</v>
      </c>
      <c r="D102" s="21" t="s">
        <v>611</v>
      </c>
      <c r="E102" s="139" t="s">
        <v>612</v>
      </c>
      <c r="F102" s="144" t="s">
        <v>688</v>
      </c>
      <c r="G102" s="21">
        <v>0</v>
      </c>
      <c r="H102" s="21">
        <f>'CRF Workbook'!G534</f>
        <v>3</v>
      </c>
      <c r="I102" s="21">
        <v>3</v>
      </c>
      <c r="J102" s="21">
        <f t="shared" ref="J102:J105" si="28">I102-H102</f>
        <v>0</v>
      </c>
      <c r="K102" s="195" t="str">
        <f t="shared" ref="K102:K105" si="29">VLOOKUP(H102,$BW$5:$BX$10,2,TRUE)</f>
        <v>Target</v>
      </c>
      <c r="L102" s="21" t="s">
        <v>30</v>
      </c>
      <c r="M102" s="21"/>
      <c r="N102" s="21"/>
      <c r="O102" s="21"/>
      <c r="P102" s="21"/>
      <c r="Q102" s="112"/>
      <c r="R102" s="113">
        <v>0</v>
      </c>
      <c r="S102" s="113"/>
      <c r="T102" s="113"/>
      <c r="U102" s="113"/>
      <c r="V102" s="11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109"/>
    </row>
    <row r="103" spans="2:70" s="53" customFormat="1" ht="55.9" customHeight="1" x14ac:dyDescent="0.2">
      <c r="C103" s="40" t="s">
        <v>26</v>
      </c>
      <c r="D103" s="21" t="s">
        <v>611</v>
      </c>
      <c r="E103" s="139" t="s">
        <v>613</v>
      </c>
      <c r="F103" s="144" t="s">
        <v>689</v>
      </c>
      <c r="G103" s="21">
        <v>0</v>
      </c>
      <c r="H103" s="21">
        <f>'CRF Workbook'!G541</f>
        <v>0</v>
      </c>
      <c r="I103" s="21">
        <v>3</v>
      </c>
      <c r="J103" s="21">
        <f t="shared" si="28"/>
        <v>3</v>
      </c>
      <c r="K103" s="195" t="str">
        <f t="shared" si="29"/>
        <v>Partial Baseline</v>
      </c>
      <c r="L103" s="21" t="s">
        <v>30</v>
      </c>
      <c r="M103" s="21"/>
      <c r="N103" s="21"/>
      <c r="O103" s="21"/>
      <c r="P103" s="21"/>
      <c r="Q103" s="91"/>
      <c r="R103" s="106">
        <v>0</v>
      </c>
      <c r="S103" s="107">
        <v>0</v>
      </c>
      <c r="T103" s="106">
        <v>0</v>
      </c>
      <c r="U103" s="107">
        <v>0</v>
      </c>
      <c r="V103" s="108">
        <v>0</v>
      </c>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109"/>
    </row>
    <row r="104" spans="2:70" s="53" customFormat="1" ht="55.9" customHeight="1" x14ac:dyDescent="0.2">
      <c r="C104" s="40" t="s">
        <v>26</v>
      </c>
      <c r="D104" s="21" t="s">
        <v>611</v>
      </c>
      <c r="E104" s="139" t="s">
        <v>614</v>
      </c>
      <c r="F104" s="144" t="s">
        <v>690</v>
      </c>
      <c r="G104" s="21">
        <v>2</v>
      </c>
      <c r="H104" s="21">
        <f>'CRF Workbook'!G550</f>
        <v>2</v>
      </c>
      <c r="I104" s="21">
        <v>3</v>
      </c>
      <c r="J104" s="21">
        <f t="shared" si="28"/>
        <v>1</v>
      </c>
      <c r="K104" s="195" t="str">
        <f t="shared" si="29"/>
        <v>Partial Target</v>
      </c>
      <c r="L104" s="21" t="s">
        <v>30</v>
      </c>
      <c r="M104" s="21"/>
      <c r="N104" s="21"/>
      <c r="O104" s="21"/>
      <c r="P104" s="21"/>
      <c r="Q104" s="91"/>
      <c r="R104" s="110">
        <v>0</v>
      </c>
      <c r="S104" s="110">
        <v>0</v>
      </c>
      <c r="T104" s="110">
        <v>0</v>
      </c>
      <c r="U104" s="110">
        <v>0</v>
      </c>
      <c r="V104" s="111">
        <v>0</v>
      </c>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109"/>
    </row>
    <row r="105" spans="2:70" s="53" customFormat="1" ht="55.9" customHeight="1" x14ac:dyDescent="0.2">
      <c r="C105" s="40" t="s">
        <v>26</v>
      </c>
      <c r="D105" s="21" t="s">
        <v>611</v>
      </c>
      <c r="E105" s="143" t="s">
        <v>615</v>
      </c>
      <c r="F105" s="144" t="s">
        <v>691</v>
      </c>
      <c r="G105" s="21">
        <v>0</v>
      </c>
      <c r="H105" s="21">
        <f>'CRF Workbook'!G559</f>
        <v>5</v>
      </c>
      <c r="I105" s="21">
        <v>3</v>
      </c>
      <c r="J105" s="21">
        <f t="shared" si="28"/>
        <v>-2</v>
      </c>
      <c r="K105" s="195" t="str">
        <f t="shared" si="29"/>
        <v>Advanced</v>
      </c>
      <c r="L105" s="21" t="s">
        <v>30</v>
      </c>
      <c r="M105" s="21"/>
      <c r="N105" s="21"/>
      <c r="O105" s="21"/>
      <c r="P105" s="21"/>
      <c r="Q105" s="91"/>
      <c r="R105" s="110">
        <v>0</v>
      </c>
      <c r="S105" s="110">
        <v>0</v>
      </c>
      <c r="T105" s="110">
        <v>0</v>
      </c>
      <c r="U105" s="110">
        <v>0</v>
      </c>
      <c r="V105" s="111">
        <v>0</v>
      </c>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109"/>
    </row>
    <row r="106" spans="2:70" s="53" customFormat="1" ht="55.9" customHeight="1" x14ac:dyDescent="0.2">
      <c r="C106" s="40"/>
      <c r="D106" s="21"/>
      <c r="E106" s="66" t="s">
        <v>38</v>
      </c>
      <c r="F106" s="67"/>
      <c r="G106" s="22">
        <f>AVERAGE(G102:G105)</f>
        <v>0.5</v>
      </c>
      <c r="H106" s="22">
        <f>AVERAGE(H102:H105)</f>
        <v>2.5</v>
      </c>
      <c r="I106" s="22">
        <f>AVERAGE(I102:I105)</f>
        <v>3</v>
      </c>
      <c r="J106" s="22">
        <f>AVERAGE(J102:J105)</f>
        <v>0.5</v>
      </c>
      <c r="K106" s="22"/>
      <c r="L106" s="23" t="s">
        <v>16</v>
      </c>
      <c r="M106" s="72"/>
      <c r="N106" s="73"/>
      <c r="O106" s="73"/>
      <c r="P106" s="74"/>
      <c r="Q106" s="91"/>
      <c r="R106" s="110">
        <v>0</v>
      </c>
      <c r="S106" s="110">
        <v>0</v>
      </c>
      <c r="T106" s="110">
        <v>0</v>
      </c>
      <c r="U106" s="110">
        <v>0</v>
      </c>
      <c r="V106" s="111">
        <v>0</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109"/>
    </row>
    <row r="107" spans="2:70" s="53" customFormat="1" ht="55.9" customHeight="1" x14ac:dyDescent="0.2">
      <c r="C107" s="435" t="s">
        <v>616</v>
      </c>
      <c r="D107" s="436"/>
      <c r="E107" s="436"/>
      <c r="F107" s="436"/>
      <c r="G107" s="436"/>
      <c r="H107" s="436"/>
      <c r="I107" s="436"/>
      <c r="J107" s="436"/>
      <c r="K107" s="436"/>
      <c r="L107" s="436"/>
      <c r="M107" s="436"/>
      <c r="N107" s="436"/>
      <c r="O107" s="436"/>
      <c r="P107" s="437"/>
      <c r="Q107" s="91"/>
      <c r="R107" s="110">
        <v>0</v>
      </c>
      <c r="S107" s="110">
        <v>0</v>
      </c>
      <c r="T107" s="110">
        <v>0</v>
      </c>
      <c r="U107" s="110">
        <v>0</v>
      </c>
      <c r="V107" s="111">
        <v>0</v>
      </c>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109"/>
    </row>
    <row r="108" spans="2:70" s="53" customFormat="1" ht="55.9" customHeight="1" x14ac:dyDescent="0.2">
      <c r="C108" s="40" t="s">
        <v>26</v>
      </c>
      <c r="D108" s="21" t="s">
        <v>611</v>
      </c>
      <c r="E108" s="139" t="s">
        <v>617</v>
      </c>
      <c r="F108" s="144" t="s">
        <v>692</v>
      </c>
      <c r="G108" s="21">
        <v>3</v>
      </c>
      <c r="H108" s="21">
        <f>'CRF Workbook'!G563</f>
        <v>5</v>
      </c>
      <c r="I108" s="21">
        <v>3</v>
      </c>
      <c r="J108" s="21">
        <f t="shared" ref="J108:J113" si="30">I108-H108</f>
        <v>-2</v>
      </c>
      <c r="K108" s="195" t="str">
        <f t="shared" ref="K108:K113" si="31">VLOOKUP(H108,$BW$5:$BX$10,2,TRUE)</f>
        <v>Advanced</v>
      </c>
      <c r="L108" s="21" t="s">
        <v>30</v>
      </c>
      <c r="M108" s="21"/>
      <c r="N108" s="21"/>
      <c r="O108" s="21"/>
      <c r="P108" s="21"/>
      <c r="Q108" s="91"/>
      <c r="R108" s="110">
        <v>0</v>
      </c>
      <c r="S108" s="110">
        <v>0</v>
      </c>
      <c r="T108" s="110">
        <v>0</v>
      </c>
      <c r="U108" s="110">
        <v>0</v>
      </c>
      <c r="V108" s="111">
        <v>0</v>
      </c>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109"/>
    </row>
    <row r="109" spans="2:70" s="53" customFormat="1" ht="55.9" customHeight="1" x14ac:dyDescent="0.2">
      <c r="C109" s="40" t="s">
        <v>26</v>
      </c>
      <c r="D109" s="21" t="s">
        <v>611</v>
      </c>
      <c r="E109" s="139" t="s">
        <v>618</v>
      </c>
      <c r="F109" s="144" t="s">
        <v>693</v>
      </c>
      <c r="G109" s="21">
        <v>5</v>
      </c>
      <c r="H109" s="21">
        <f>'CRF Workbook'!G571</f>
        <v>5</v>
      </c>
      <c r="I109" s="21">
        <v>3</v>
      </c>
      <c r="J109" s="21">
        <f t="shared" si="30"/>
        <v>-2</v>
      </c>
      <c r="K109" s="195" t="str">
        <f t="shared" si="31"/>
        <v>Advanced</v>
      </c>
      <c r="L109" s="21" t="s">
        <v>30</v>
      </c>
      <c r="M109" s="21"/>
      <c r="N109" s="21"/>
      <c r="O109" s="21"/>
      <c r="P109" s="21"/>
      <c r="Q109" s="91"/>
      <c r="R109" s="110">
        <v>0</v>
      </c>
      <c r="S109" s="110">
        <v>0</v>
      </c>
      <c r="T109" s="110">
        <v>0</v>
      </c>
      <c r="U109" s="110">
        <v>0</v>
      </c>
      <c r="V109" s="111">
        <v>0</v>
      </c>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109"/>
    </row>
    <row r="110" spans="2:70" s="53" customFormat="1" ht="59.65" customHeight="1" x14ac:dyDescent="0.2">
      <c r="C110" s="40" t="s">
        <v>26</v>
      </c>
      <c r="D110" s="21" t="s">
        <v>611</v>
      </c>
      <c r="E110" s="139" t="s">
        <v>619</v>
      </c>
      <c r="F110" s="144" t="s">
        <v>694</v>
      </c>
      <c r="G110" s="21">
        <v>3</v>
      </c>
      <c r="H110" s="21">
        <f>'CRF Workbook'!G581</f>
        <v>3</v>
      </c>
      <c r="I110" s="21">
        <v>3</v>
      </c>
      <c r="J110" s="21">
        <f t="shared" si="30"/>
        <v>0</v>
      </c>
      <c r="K110" s="195" t="str">
        <f t="shared" si="31"/>
        <v>Target</v>
      </c>
      <c r="L110" s="21" t="s">
        <v>30</v>
      </c>
      <c r="M110" s="21"/>
      <c r="N110" s="21"/>
      <c r="O110" s="21"/>
      <c r="P110" s="21"/>
      <c r="Q110" s="91"/>
      <c r="R110" s="110">
        <v>0</v>
      </c>
      <c r="S110" s="110">
        <v>0</v>
      </c>
      <c r="T110" s="110">
        <v>0</v>
      </c>
      <c r="U110" s="110">
        <v>0</v>
      </c>
      <c r="V110" s="111">
        <v>0</v>
      </c>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109"/>
    </row>
    <row r="111" spans="2:70" s="53" customFormat="1" ht="55.9" customHeight="1" x14ac:dyDescent="0.2">
      <c r="C111" s="40" t="s">
        <v>26</v>
      </c>
      <c r="D111" s="21" t="s">
        <v>611</v>
      </c>
      <c r="E111" s="139" t="s">
        <v>620</v>
      </c>
      <c r="F111" s="144" t="s">
        <v>695</v>
      </c>
      <c r="G111" s="21">
        <v>3</v>
      </c>
      <c r="H111" s="21">
        <f>'CRF Workbook'!G591</f>
        <v>3</v>
      </c>
      <c r="I111" s="21">
        <v>3</v>
      </c>
      <c r="J111" s="21">
        <f t="shared" si="30"/>
        <v>0</v>
      </c>
      <c r="K111" s="195" t="str">
        <f t="shared" si="31"/>
        <v>Target</v>
      </c>
      <c r="L111" s="21" t="s">
        <v>30</v>
      </c>
      <c r="M111" s="21"/>
      <c r="N111" s="21"/>
      <c r="O111" s="21"/>
      <c r="P111" s="21"/>
      <c r="Q111" s="91"/>
      <c r="R111" s="110">
        <v>0</v>
      </c>
      <c r="S111" s="110">
        <v>0</v>
      </c>
      <c r="T111" s="110">
        <v>0</v>
      </c>
      <c r="U111" s="110">
        <v>0</v>
      </c>
      <c r="V111" s="111">
        <v>0</v>
      </c>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109"/>
    </row>
    <row r="112" spans="2:70" s="53" customFormat="1" ht="106.5" customHeight="1" x14ac:dyDescent="0.2">
      <c r="C112" s="40" t="s">
        <v>26</v>
      </c>
      <c r="D112" s="21" t="s">
        <v>611</v>
      </c>
      <c r="E112" s="139" t="s">
        <v>621</v>
      </c>
      <c r="F112" s="144" t="s">
        <v>696</v>
      </c>
      <c r="G112" s="21">
        <v>3</v>
      </c>
      <c r="H112" s="21">
        <f>'CRF Workbook'!G596</f>
        <v>5</v>
      </c>
      <c r="I112" s="21">
        <v>3</v>
      </c>
      <c r="J112" s="21">
        <f t="shared" si="30"/>
        <v>-2</v>
      </c>
      <c r="K112" s="195" t="str">
        <f t="shared" si="31"/>
        <v>Advanced</v>
      </c>
      <c r="L112" s="21" t="s">
        <v>30</v>
      </c>
      <c r="M112" s="21"/>
      <c r="N112" s="21"/>
      <c r="O112" s="21"/>
      <c r="P112" s="21"/>
      <c r="Q112" s="91"/>
      <c r="R112" s="110">
        <v>0</v>
      </c>
      <c r="S112" s="110">
        <v>0</v>
      </c>
      <c r="T112" s="110">
        <v>0</v>
      </c>
      <c r="U112" s="110">
        <v>0</v>
      </c>
      <c r="V112" s="111">
        <v>0</v>
      </c>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09"/>
    </row>
    <row r="113" spans="3:70" s="53" customFormat="1" ht="55.9" customHeight="1" x14ac:dyDescent="0.2">
      <c r="C113" s="40" t="s">
        <v>26</v>
      </c>
      <c r="D113" s="21" t="s">
        <v>611</v>
      </c>
      <c r="E113" s="143" t="s">
        <v>622</v>
      </c>
      <c r="F113" s="144" t="s">
        <v>697</v>
      </c>
      <c r="G113" s="21">
        <v>3</v>
      </c>
      <c r="H113" s="21">
        <f>'CRF Workbook'!G606</f>
        <v>3</v>
      </c>
      <c r="I113" s="21">
        <v>3</v>
      </c>
      <c r="J113" s="21">
        <f t="shared" si="30"/>
        <v>0</v>
      </c>
      <c r="K113" s="195" t="str">
        <f t="shared" si="31"/>
        <v>Target</v>
      </c>
      <c r="L113" s="21" t="s">
        <v>30</v>
      </c>
      <c r="M113" s="21"/>
      <c r="N113" s="21"/>
      <c r="O113" s="21"/>
      <c r="P113" s="21"/>
      <c r="Q113" s="91"/>
      <c r="R113" s="110">
        <v>0</v>
      </c>
      <c r="S113" s="110">
        <v>0</v>
      </c>
      <c r="T113" s="110">
        <v>0</v>
      </c>
      <c r="U113" s="110">
        <v>0</v>
      </c>
      <c r="V113" s="111">
        <v>0</v>
      </c>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09"/>
    </row>
    <row r="114" spans="3:70" s="53" customFormat="1" ht="55.9" customHeight="1" thickBot="1" x14ac:dyDescent="0.25">
      <c r="C114" s="40"/>
      <c r="D114" s="21"/>
      <c r="E114" s="66" t="s">
        <v>38</v>
      </c>
      <c r="F114" s="67"/>
      <c r="G114" s="22">
        <f>AVERAGE(G108:G113)</f>
        <v>3.3333333333333335</v>
      </c>
      <c r="H114" s="22">
        <f>AVERAGE(H108:H113)</f>
        <v>4</v>
      </c>
      <c r="I114" s="22">
        <f>AVERAGE(I108:I113)</f>
        <v>3</v>
      </c>
      <c r="J114" s="22">
        <f>AVERAGE(J108:J113)</f>
        <v>-1</v>
      </c>
      <c r="K114" s="22"/>
      <c r="L114" s="23" t="s">
        <v>16</v>
      </c>
      <c r="M114" s="72"/>
      <c r="N114" s="73"/>
      <c r="O114" s="73"/>
      <c r="P114" s="74"/>
      <c r="Q114" s="91"/>
      <c r="R114" s="110">
        <v>0</v>
      </c>
      <c r="S114" s="110">
        <v>0</v>
      </c>
      <c r="T114" s="110">
        <v>0</v>
      </c>
      <c r="U114" s="110">
        <v>0</v>
      </c>
      <c r="V114" s="111">
        <v>0</v>
      </c>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109"/>
    </row>
    <row r="115" spans="3:70" s="53" customFormat="1" ht="55.9" customHeight="1" thickBot="1" x14ac:dyDescent="0.25">
      <c r="C115" s="438" t="s">
        <v>516</v>
      </c>
      <c r="D115" s="439"/>
      <c r="E115" s="119" t="s">
        <v>623</v>
      </c>
      <c r="F115" s="119"/>
      <c r="G115" s="120">
        <f>AVERAGE(G6:G10,G13:G16,G19:G22,G25:G27,G30:G35,G38:G42,G45:G45,G48:G51,G54:G57,G60:G61,G64:G65,G68:G71,G74:G83,G86:G95,G98:G99,G102:G105,G108:G113)</f>
        <v>2.7763157894736841</v>
      </c>
      <c r="H115" s="120">
        <f>AVERAGE(H6:H10,H13:H16,H19:H22,H25:H27,H30:H35,H38:H42,H45:H45,H48:H51,H54:H57,H60:H61,H64:H65,H68:H71,H74:H83,H86:H95,H98:H99,H102:H105,H108:H113)</f>
        <v>3.6315789473684212</v>
      </c>
      <c r="I115" s="121">
        <f>AVERAGE(I108:I114,I6:I10,I13:I16,I19:I22,I25:I27,I30:I35,I38:I42,I45:I45,I48:I51,I54:I57,I60:I61,I64:I65,I68:I71,I74:I83,I86:I95,I98:I99,I102:I105)</f>
        <v>3</v>
      </c>
      <c r="J115" s="122">
        <f>I115-H115</f>
        <v>-0.63157894736842124</v>
      </c>
      <c r="K115" s="168"/>
      <c r="L115" s="123" t="s">
        <v>16</v>
      </c>
      <c r="M115" s="124"/>
      <c r="N115" s="125"/>
      <c r="O115" s="125"/>
      <c r="P115" s="126"/>
      <c r="Q115" s="91"/>
      <c r="R115" s="110">
        <v>0</v>
      </c>
      <c r="S115" s="110">
        <v>0</v>
      </c>
      <c r="T115" s="110">
        <v>0</v>
      </c>
      <c r="U115" s="110">
        <v>0</v>
      </c>
      <c r="V115" s="111">
        <v>0</v>
      </c>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109"/>
    </row>
    <row r="116" spans="3:70" ht="31.5" customHeight="1" x14ac:dyDescent="0.2">
      <c r="G116" s="127"/>
      <c r="H116" s="127"/>
      <c r="I116" s="127"/>
      <c r="J116" s="127"/>
      <c r="K116" s="127"/>
    </row>
  </sheetData>
  <mergeCells count="23">
    <mergeCell ref="C101:P101"/>
    <mergeCell ref="C107:P107"/>
    <mergeCell ref="C115:D115"/>
    <mergeCell ref="C24:P24"/>
    <mergeCell ref="C29:P29"/>
    <mergeCell ref="C37:P37"/>
    <mergeCell ref="C67:P67"/>
    <mergeCell ref="C73:P73"/>
    <mergeCell ref="C44:P44"/>
    <mergeCell ref="C47:P47"/>
    <mergeCell ref="C53:P53"/>
    <mergeCell ref="C59:P59"/>
    <mergeCell ref="C63:P63"/>
    <mergeCell ref="BW1:BX1"/>
    <mergeCell ref="G3:G4"/>
    <mergeCell ref="K3:K4"/>
    <mergeCell ref="C85:P85"/>
    <mergeCell ref="C97:P97"/>
    <mergeCell ref="C1:P1"/>
    <mergeCell ref="C2:P2"/>
    <mergeCell ref="C5:P5"/>
    <mergeCell ref="C12:P12"/>
    <mergeCell ref="C18:P18"/>
  </mergeCells>
  <conditionalFormatting sqref="G6:G11 G13:G17 G19:G23 G25:G28 G30:G36 G38:G43 G45:G46 G48:G52 G54:G58 G60:G62 G64:G66 G68:G72 G74:G84 G86:G96 G98:G100 G102:G106 G108:G115">
    <cfRule type="colorScale" priority="18">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onditionalFormatting>
  <conditionalFormatting sqref="G32">
    <cfRule type="colorScale" priority="56">
      <colorScale>
        <cfvo type="min"/>
        <cfvo type="percentile" val="50"/>
        <cfvo type="max"/>
        <color rgb="FFF8696B"/>
        <color rgb="FFFFC000"/>
        <color rgb="FF63BE7B"/>
      </colorScale>
    </cfRule>
  </conditionalFormatting>
  <conditionalFormatting sqref="G33">
    <cfRule type="colorScale" priority="55">
      <colorScale>
        <cfvo type="min"/>
        <cfvo type="percentile" val="50"/>
        <cfvo type="max"/>
        <color rgb="FFF8696B"/>
        <color rgb="FFFFC000"/>
        <color rgb="FF63BE7B"/>
      </colorScale>
    </cfRule>
  </conditionalFormatting>
  <conditionalFormatting sqref="G34">
    <cfRule type="colorScale" priority="54">
      <colorScale>
        <cfvo type="min"/>
        <cfvo type="percentile" val="50"/>
        <cfvo type="max"/>
        <color rgb="FFF8696B"/>
        <color rgb="FFFFC000"/>
        <color rgb="FF63BE7B"/>
      </colorScale>
    </cfRule>
  </conditionalFormatting>
  <conditionalFormatting sqref="G74">
    <cfRule type="colorScale" priority="41">
      <colorScale>
        <cfvo type="min"/>
        <cfvo type="percentile" val="50"/>
        <cfvo type="max"/>
        <color rgb="FFF8696B"/>
        <color rgb="FFFFC000"/>
        <color rgb="FF63BE7B"/>
      </colorScale>
    </cfRule>
  </conditionalFormatting>
  <conditionalFormatting sqref="G75">
    <cfRule type="colorScale" priority="40">
      <colorScale>
        <cfvo type="min"/>
        <cfvo type="percentile" val="50"/>
        <cfvo type="max"/>
        <color rgb="FFF8696B"/>
        <color rgb="FFFFC000"/>
        <color rgb="FF63BE7B"/>
      </colorScale>
    </cfRule>
  </conditionalFormatting>
  <conditionalFormatting sqref="G75:G79">
    <cfRule type="colorScale" priority="29">
      <colorScale>
        <cfvo type="min"/>
        <cfvo type="percentile" val="50"/>
        <cfvo type="max"/>
        <color rgb="FFF8696B"/>
        <color rgb="FFFFC000"/>
        <color rgb="FF63BE7B"/>
      </colorScale>
    </cfRule>
  </conditionalFormatting>
  <conditionalFormatting sqref="G76">
    <cfRule type="colorScale" priority="39">
      <colorScale>
        <cfvo type="min"/>
        <cfvo type="percentile" val="50"/>
        <cfvo type="max"/>
        <color rgb="FFF8696B"/>
        <color rgb="FFFFC000"/>
        <color rgb="FF63BE7B"/>
      </colorScale>
    </cfRule>
  </conditionalFormatting>
  <conditionalFormatting sqref="G77">
    <cfRule type="colorScale" priority="34">
      <colorScale>
        <cfvo type="min"/>
        <cfvo type="percentile" val="50"/>
        <cfvo type="max"/>
        <color rgb="FFF8696B"/>
        <color rgb="FFFFC000"/>
        <color rgb="FF63BE7B"/>
      </colorScale>
    </cfRule>
  </conditionalFormatting>
  <conditionalFormatting sqref="G78">
    <cfRule type="colorScale" priority="35">
      <colorScale>
        <cfvo type="min"/>
        <cfvo type="percentile" val="50"/>
        <cfvo type="max"/>
        <color rgb="FFF8696B"/>
        <color rgb="FFFFC000"/>
        <color rgb="FF63BE7B"/>
      </colorScale>
    </cfRule>
  </conditionalFormatting>
  <conditionalFormatting sqref="G79">
    <cfRule type="colorScale" priority="36">
      <colorScale>
        <cfvo type="min"/>
        <cfvo type="percentile" val="50"/>
        <cfvo type="max"/>
        <color rgb="FFF8696B"/>
        <color rgb="FFFFC000"/>
        <color rgb="FF63BE7B"/>
      </colorScale>
    </cfRule>
  </conditionalFormatting>
  <conditionalFormatting sqref="G80">
    <cfRule type="colorScale" priority="37">
      <colorScale>
        <cfvo type="min"/>
        <cfvo type="percentile" val="50"/>
        <cfvo type="max"/>
        <color rgb="FFF8696B"/>
        <color rgb="FFFFC000"/>
        <color rgb="FF63BE7B"/>
      </colorScale>
    </cfRule>
  </conditionalFormatting>
  <conditionalFormatting sqref="G80:G84">
    <cfRule type="colorScale" priority="28">
      <colorScale>
        <cfvo type="min"/>
        <cfvo type="percentile" val="50"/>
        <cfvo type="max"/>
        <color rgb="FFF8696B"/>
        <color rgb="FFFFC000"/>
        <color rgb="FF63BE7B"/>
      </colorScale>
    </cfRule>
  </conditionalFormatting>
  <conditionalFormatting sqref="G81">
    <cfRule type="colorScale" priority="53">
      <colorScale>
        <cfvo type="min"/>
        <cfvo type="percentile" val="50"/>
        <cfvo type="max"/>
        <color rgb="FFF8696B"/>
        <color rgb="FFFFC000"/>
        <color rgb="FF63BE7B"/>
      </colorScale>
    </cfRule>
  </conditionalFormatting>
  <conditionalFormatting sqref="G82">
    <cfRule type="colorScale" priority="52">
      <colorScale>
        <cfvo type="min"/>
        <cfvo type="percentile" val="50"/>
        <cfvo type="max"/>
        <color rgb="FFF8696B"/>
        <color rgb="FFFFC000"/>
        <color rgb="FF63BE7B"/>
      </colorScale>
    </cfRule>
  </conditionalFormatting>
  <conditionalFormatting sqref="G83">
    <cfRule type="colorScale" priority="42">
      <colorScale>
        <cfvo type="min"/>
        <cfvo type="percentile" val="50"/>
        <cfvo type="max"/>
        <color rgb="FFF8696B"/>
        <color rgb="FFFFC000"/>
        <color rgb="FF63BE7B"/>
      </colorScale>
    </cfRule>
  </conditionalFormatting>
  <conditionalFormatting sqref="G84">
    <cfRule type="colorScale" priority="38">
      <colorScale>
        <cfvo type="min"/>
        <cfvo type="percentile" val="50"/>
        <cfvo type="max"/>
        <color rgb="FFF8696B"/>
        <color rgb="FFFFC000"/>
        <color rgb="FF63BE7B"/>
      </colorScale>
    </cfRule>
  </conditionalFormatting>
  <conditionalFormatting sqref="G86">
    <cfRule type="colorScale" priority="43">
      <colorScale>
        <cfvo type="min"/>
        <cfvo type="percentile" val="50"/>
        <cfvo type="max"/>
        <color rgb="FFF8696B"/>
        <color rgb="FFFFC000"/>
        <color rgb="FF63BE7B"/>
      </colorScale>
    </cfRule>
  </conditionalFormatting>
  <conditionalFormatting sqref="G86:G90">
    <cfRule type="colorScale" priority="27">
      <colorScale>
        <cfvo type="min"/>
        <cfvo type="percentile" val="50"/>
        <cfvo type="max"/>
        <color rgb="FFF8696B"/>
        <color rgb="FFFFC000"/>
        <color rgb="FF63BE7B"/>
      </colorScale>
    </cfRule>
  </conditionalFormatting>
  <conditionalFormatting sqref="G87">
    <cfRule type="colorScale" priority="44">
      <colorScale>
        <cfvo type="min"/>
        <cfvo type="percentile" val="50"/>
        <cfvo type="max"/>
        <color rgb="FFF8696B"/>
        <color rgb="FFFFC000"/>
        <color rgb="FF63BE7B"/>
      </colorScale>
    </cfRule>
  </conditionalFormatting>
  <conditionalFormatting sqref="G88">
    <cfRule type="colorScale" priority="45">
      <colorScale>
        <cfvo type="min"/>
        <cfvo type="percentile" val="50"/>
        <cfvo type="max"/>
        <color rgb="FFF8696B"/>
        <color rgb="FFFFC000"/>
        <color rgb="FF63BE7B"/>
      </colorScale>
    </cfRule>
  </conditionalFormatting>
  <conditionalFormatting sqref="G89">
    <cfRule type="colorScale" priority="46">
      <colorScale>
        <cfvo type="min"/>
        <cfvo type="percentile" val="50"/>
        <cfvo type="max"/>
        <color rgb="FFF8696B"/>
        <color rgb="FFFFC000"/>
        <color rgb="FF63BE7B"/>
      </colorScale>
    </cfRule>
  </conditionalFormatting>
  <conditionalFormatting sqref="G90">
    <cfRule type="colorScale" priority="51">
      <colorScale>
        <cfvo type="min"/>
        <cfvo type="percentile" val="50"/>
        <cfvo type="max"/>
        <color rgb="FFF8696B"/>
        <color rgb="FFFFC000"/>
        <color rgb="FF63BE7B"/>
      </colorScale>
    </cfRule>
  </conditionalFormatting>
  <conditionalFormatting sqref="G91">
    <cfRule type="colorScale" priority="50">
      <colorScale>
        <cfvo type="min"/>
        <cfvo type="percentile" val="50"/>
        <cfvo type="max"/>
        <color rgb="FFF8696B"/>
        <color rgb="FFFFC000"/>
        <color rgb="FF63BE7B"/>
      </colorScale>
    </cfRule>
  </conditionalFormatting>
  <conditionalFormatting sqref="G92">
    <cfRule type="colorScale" priority="49">
      <colorScale>
        <cfvo type="min"/>
        <cfvo type="percentile" val="50"/>
        <cfvo type="max"/>
        <color rgb="FFF8696B"/>
        <color rgb="FFFFC000"/>
        <color rgb="FF63BE7B"/>
      </colorScale>
    </cfRule>
  </conditionalFormatting>
  <conditionalFormatting sqref="G93">
    <cfRule type="colorScale" priority="48">
      <colorScale>
        <cfvo type="min"/>
        <cfvo type="percentile" val="50"/>
        <cfvo type="max"/>
        <color rgb="FFF8696B"/>
        <color rgb="FFFFC000"/>
        <color rgb="FF63BE7B"/>
      </colorScale>
    </cfRule>
  </conditionalFormatting>
  <conditionalFormatting sqref="G94">
    <cfRule type="colorScale" priority="47">
      <colorScale>
        <cfvo type="min"/>
        <cfvo type="percentile" val="50"/>
        <cfvo type="max"/>
        <color rgb="FFF8696B"/>
        <color rgb="FFFFC000"/>
        <color rgb="FF63BE7B"/>
      </colorScale>
    </cfRule>
  </conditionalFormatting>
  <conditionalFormatting sqref="G96">
    <cfRule type="colorScale" priority="57">
      <colorScale>
        <cfvo type="min"/>
        <cfvo type="percentile" val="50"/>
        <cfvo type="max"/>
        <color rgb="FFF8696B"/>
        <color rgb="FFFFC000"/>
        <color rgb="FF63BE7B"/>
      </colorScale>
    </cfRule>
  </conditionalFormatting>
  <conditionalFormatting sqref="G99">
    <cfRule type="colorScale" priority="33">
      <colorScale>
        <cfvo type="min"/>
        <cfvo type="percentile" val="50"/>
        <cfvo type="max"/>
        <color rgb="FFF8696B"/>
        <color rgb="FFFFC000"/>
        <color rgb="FF63BE7B"/>
      </colorScale>
    </cfRule>
  </conditionalFormatting>
  <conditionalFormatting sqref="G102">
    <cfRule type="colorScale" priority="26">
      <colorScale>
        <cfvo type="min"/>
        <cfvo type="percentile" val="50"/>
        <cfvo type="max"/>
        <color rgb="FFF8696B"/>
        <color rgb="FFFFC000"/>
        <color rgb="FF63BE7B"/>
      </colorScale>
    </cfRule>
  </conditionalFormatting>
  <conditionalFormatting sqref="G103">
    <cfRule type="colorScale" priority="25">
      <colorScale>
        <cfvo type="min"/>
        <cfvo type="percentile" val="50"/>
        <cfvo type="max"/>
        <color rgb="FFF8696B"/>
        <color rgb="FFFFC000"/>
        <color rgb="FF63BE7B"/>
      </colorScale>
    </cfRule>
  </conditionalFormatting>
  <conditionalFormatting sqref="G104">
    <cfRule type="colorScale" priority="24">
      <colorScale>
        <cfvo type="min"/>
        <cfvo type="percentile" val="50"/>
        <cfvo type="max"/>
        <color rgb="FFF8696B"/>
        <color rgb="FFFFC000"/>
        <color rgb="FF63BE7B"/>
      </colorScale>
    </cfRule>
  </conditionalFormatting>
  <conditionalFormatting sqref="G105">
    <cfRule type="colorScale" priority="23">
      <colorScale>
        <cfvo type="min"/>
        <cfvo type="percentile" val="50"/>
        <cfvo type="max"/>
        <color rgb="FFF8696B"/>
        <color rgb="FFFFC000"/>
        <color rgb="FF63BE7B"/>
      </colorScale>
    </cfRule>
  </conditionalFormatting>
  <conditionalFormatting sqref="G108">
    <cfRule type="colorScale" priority="22">
      <colorScale>
        <cfvo type="min"/>
        <cfvo type="percentile" val="50"/>
        <cfvo type="max"/>
        <color rgb="FFF8696B"/>
        <color rgb="FFFFC000"/>
        <color rgb="FF63BE7B"/>
      </colorScale>
    </cfRule>
  </conditionalFormatting>
  <conditionalFormatting sqref="G109">
    <cfRule type="colorScale" priority="21">
      <colorScale>
        <cfvo type="min"/>
        <cfvo type="percentile" val="50"/>
        <cfvo type="max"/>
        <color rgb="FFF8696B"/>
        <color rgb="FFFFC000"/>
        <color rgb="FF63BE7B"/>
      </colorScale>
    </cfRule>
  </conditionalFormatting>
  <conditionalFormatting sqref="G110">
    <cfRule type="colorScale" priority="20">
      <colorScale>
        <cfvo type="min"/>
        <cfvo type="percentile" val="50"/>
        <cfvo type="max"/>
        <color rgb="FFF8696B"/>
        <color rgb="FFFFC000"/>
        <color rgb="FF63BE7B"/>
      </colorScale>
    </cfRule>
  </conditionalFormatting>
  <conditionalFormatting sqref="G111">
    <cfRule type="colorScale" priority="32">
      <colorScale>
        <cfvo type="min"/>
        <cfvo type="percentile" val="50"/>
        <cfvo type="max"/>
        <color rgb="FFF8696B"/>
        <color rgb="FFFFC000"/>
        <color rgb="FF63BE7B"/>
      </colorScale>
    </cfRule>
    <cfRule type="colorScale" priority="19">
      <colorScale>
        <cfvo type="min"/>
        <cfvo type="percentile" val="50"/>
        <cfvo type="max"/>
        <color rgb="FFF8696B"/>
        <color rgb="FFFFC000"/>
        <color rgb="FF63BE7B"/>
      </colorScale>
    </cfRule>
  </conditionalFormatting>
  <conditionalFormatting sqref="G112">
    <cfRule type="colorScale" priority="31">
      <colorScale>
        <cfvo type="min"/>
        <cfvo type="percentile" val="50"/>
        <cfvo type="max"/>
        <color rgb="FFF8696B"/>
        <color rgb="FFFFC000"/>
        <color rgb="FF63BE7B"/>
      </colorScale>
    </cfRule>
  </conditionalFormatting>
  <conditionalFormatting sqref="G113:G115 G98 G45:G46 G91:G95 G100 G6:G11 G13:G17 G19:G23 G25:G28 G30:G36 G38:G43 G48:G52 G54:G58 G60:G62 G64:G66 G68:G72 G102:G106 G108:G111">
    <cfRule type="colorScale" priority="58">
      <colorScale>
        <cfvo type="min"/>
        <cfvo type="percentile" val="50"/>
        <cfvo type="max"/>
        <color rgb="FFF8696B"/>
        <color rgb="FFFFC000"/>
        <color rgb="FF63BE7B"/>
      </colorScale>
    </cfRule>
  </conditionalFormatting>
  <conditionalFormatting sqref="G116:G1048576 G3">
    <cfRule type="colorScale" priority="59">
      <colorScale>
        <cfvo type="min"/>
        <cfvo type="percentile" val="50"/>
        <cfvo type="max"/>
        <color rgb="FFF8696B"/>
        <color rgb="FFFFC000"/>
        <color rgb="FF63BE7B"/>
      </colorScale>
    </cfRule>
  </conditionalFormatting>
  <conditionalFormatting sqref="H3:H4 H116:H1048576">
    <cfRule type="colorScale" priority="1482">
      <colorScale>
        <cfvo type="min"/>
        <cfvo type="percentile" val="50"/>
        <cfvo type="max"/>
        <color rgb="FFF8696B"/>
        <color rgb="FFFFC000"/>
        <color rgb="FF63BE7B"/>
      </colorScale>
    </cfRule>
  </conditionalFormatting>
  <conditionalFormatting sqref="H32">
    <cfRule type="colorScale" priority="163">
      <colorScale>
        <cfvo type="min"/>
        <cfvo type="percentile" val="50"/>
        <cfvo type="max"/>
        <color rgb="FFF8696B"/>
        <color rgb="FFFFC000"/>
        <color rgb="FF63BE7B"/>
      </colorScale>
    </cfRule>
  </conditionalFormatting>
  <conditionalFormatting sqref="H33">
    <cfRule type="colorScale" priority="160">
      <colorScale>
        <cfvo type="min"/>
        <cfvo type="percentile" val="50"/>
        <cfvo type="max"/>
        <color rgb="FFF8696B"/>
        <color rgb="FFFFC000"/>
        <color rgb="FF63BE7B"/>
      </colorScale>
    </cfRule>
  </conditionalFormatting>
  <conditionalFormatting sqref="H34">
    <cfRule type="colorScale" priority="157">
      <colorScale>
        <cfvo type="min"/>
        <cfvo type="percentile" val="50"/>
        <cfvo type="max"/>
        <color rgb="FFF8696B"/>
        <color rgb="FFFFC000"/>
        <color rgb="FF63BE7B"/>
      </colorScale>
    </cfRule>
  </conditionalFormatting>
  <conditionalFormatting sqref="H74">
    <cfRule type="colorScale" priority="112">
      <colorScale>
        <cfvo type="min"/>
        <cfvo type="percentile" val="50"/>
        <cfvo type="max"/>
        <color rgb="FFF8696B"/>
        <color rgb="FFFFC000"/>
        <color rgb="FF63BE7B"/>
      </colorScale>
    </cfRule>
  </conditionalFormatting>
  <conditionalFormatting sqref="H75">
    <cfRule type="colorScale" priority="111">
      <colorScale>
        <cfvo type="min"/>
        <cfvo type="percentile" val="50"/>
        <cfvo type="max"/>
        <color rgb="FFF8696B"/>
        <color rgb="FFFFC000"/>
        <color rgb="FF63BE7B"/>
      </colorScale>
    </cfRule>
  </conditionalFormatting>
  <conditionalFormatting sqref="H75:H79">
    <cfRule type="colorScale" priority="74">
      <colorScale>
        <cfvo type="min"/>
        <cfvo type="percentile" val="50"/>
        <cfvo type="max"/>
        <color rgb="FFF8696B"/>
        <color rgb="FFFFC000"/>
        <color rgb="FF63BE7B"/>
      </colorScale>
    </cfRule>
  </conditionalFormatting>
  <conditionalFormatting sqref="H76">
    <cfRule type="colorScale" priority="110">
      <colorScale>
        <cfvo type="min"/>
        <cfvo type="percentile" val="50"/>
        <cfvo type="max"/>
        <color rgb="FFF8696B"/>
        <color rgb="FFFFC000"/>
        <color rgb="FF63BE7B"/>
      </colorScale>
    </cfRule>
  </conditionalFormatting>
  <conditionalFormatting sqref="H77">
    <cfRule type="colorScale" priority="105">
      <colorScale>
        <cfvo type="min"/>
        <cfvo type="percentile" val="50"/>
        <cfvo type="max"/>
        <color rgb="FFF8696B"/>
        <color rgb="FFFFC000"/>
        <color rgb="FF63BE7B"/>
      </colorScale>
    </cfRule>
  </conditionalFormatting>
  <conditionalFormatting sqref="H78">
    <cfRule type="colorScale" priority="106">
      <colorScale>
        <cfvo type="min"/>
        <cfvo type="percentile" val="50"/>
        <cfvo type="max"/>
        <color rgb="FFF8696B"/>
        <color rgb="FFFFC000"/>
        <color rgb="FF63BE7B"/>
      </colorScale>
    </cfRule>
  </conditionalFormatting>
  <conditionalFormatting sqref="H79">
    <cfRule type="colorScale" priority="107">
      <colorScale>
        <cfvo type="min"/>
        <cfvo type="percentile" val="50"/>
        <cfvo type="max"/>
        <color rgb="FFF8696B"/>
        <color rgb="FFFFC000"/>
        <color rgb="FF63BE7B"/>
      </colorScale>
    </cfRule>
  </conditionalFormatting>
  <conditionalFormatting sqref="H80">
    <cfRule type="colorScale" priority="108">
      <colorScale>
        <cfvo type="min"/>
        <cfvo type="percentile" val="50"/>
        <cfvo type="max"/>
        <color rgb="FFF8696B"/>
        <color rgb="FFFFC000"/>
        <color rgb="FF63BE7B"/>
      </colorScale>
    </cfRule>
  </conditionalFormatting>
  <conditionalFormatting sqref="H80:H83">
    <cfRule type="colorScale" priority="73">
      <colorScale>
        <cfvo type="min"/>
        <cfvo type="percentile" val="50"/>
        <cfvo type="max"/>
        <color rgb="FFF8696B"/>
        <color rgb="FFFFC000"/>
        <color rgb="FF63BE7B"/>
      </colorScale>
    </cfRule>
  </conditionalFormatting>
  <conditionalFormatting sqref="H81">
    <cfRule type="colorScale" priority="154">
      <colorScale>
        <cfvo type="min"/>
        <cfvo type="percentile" val="50"/>
        <cfvo type="max"/>
        <color rgb="FFF8696B"/>
        <color rgb="FFFFC000"/>
        <color rgb="FF63BE7B"/>
      </colorScale>
    </cfRule>
  </conditionalFormatting>
  <conditionalFormatting sqref="H82">
    <cfRule type="colorScale" priority="151">
      <colorScale>
        <cfvo type="min"/>
        <cfvo type="percentile" val="50"/>
        <cfvo type="max"/>
        <color rgb="FFF8696B"/>
        <color rgb="FFFFC000"/>
        <color rgb="FF63BE7B"/>
      </colorScale>
    </cfRule>
  </conditionalFormatting>
  <conditionalFormatting sqref="H83">
    <cfRule type="colorScale" priority="122">
      <colorScale>
        <cfvo type="min"/>
        <cfvo type="percentile" val="50"/>
        <cfvo type="max"/>
        <color rgb="FFF8696B"/>
        <color rgb="FFFFC000"/>
        <color rgb="FF63BE7B"/>
      </colorScale>
    </cfRule>
  </conditionalFormatting>
  <conditionalFormatting sqref="H84">
    <cfRule type="colorScale" priority="3">
      <colorScale>
        <cfvo type="min"/>
        <cfvo type="percentile" val="50"/>
        <cfvo type="max"/>
        <color rgb="FFF8696B"/>
        <color rgb="FFFFC000"/>
        <color rgb="FF63BE7B"/>
      </colorScale>
    </cfRule>
    <cfRule type="colorScale" priority="4">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C000"/>
        <color rgb="FF63BE7B"/>
      </colorScale>
    </cfRule>
  </conditionalFormatting>
  <conditionalFormatting sqref="H86">
    <cfRule type="colorScale" priority="123">
      <colorScale>
        <cfvo type="min"/>
        <cfvo type="percentile" val="50"/>
        <cfvo type="max"/>
        <color rgb="FFF8696B"/>
        <color rgb="FFFFC000"/>
        <color rgb="FF63BE7B"/>
      </colorScale>
    </cfRule>
  </conditionalFormatting>
  <conditionalFormatting sqref="H86:H90">
    <cfRule type="colorScale" priority="72">
      <colorScale>
        <cfvo type="min"/>
        <cfvo type="percentile" val="50"/>
        <cfvo type="max"/>
        <color rgb="FFF8696B"/>
        <color rgb="FFFFC000"/>
        <color rgb="FF63BE7B"/>
      </colorScale>
    </cfRule>
  </conditionalFormatting>
  <conditionalFormatting sqref="H87">
    <cfRule type="colorScale" priority="126">
      <colorScale>
        <cfvo type="min"/>
        <cfvo type="percentile" val="50"/>
        <cfvo type="max"/>
        <color rgb="FFF8696B"/>
        <color rgb="FFFFC000"/>
        <color rgb="FF63BE7B"/>
      </colorScale>
    </cfRule>
  </conditionalFormatting>
  <conditionalFormatting sqref="H88">
    <cfRule type="colorScale" priority="127">
      <colorScale>
        <cfvo type="min"/>
        <cfvo type="percentile" val="50"/>
        <cfvo type="max"/>
        <color rgb="FFF8696B"/>
        <color rgb="FFFFC000"/>
        <color rgb="FF63BE7B"/>
      </colorScale>
    </cfRule>
  </conditionalFormatting>
  <conditionalFormatting sqref="H89">
    <cfRule type="colorScale" priority="134">
      <colorScale>
        <cfvo type="min"/>
        <cfvo type="percentile" val="50"/>
        <cfvo type="max"/>
        <color rgb="FFF8696B"/>
        <color rgb="FFFFC000"/>
        <color rgb="FF63BE7B"/>
      </colorScale>
    </cfRule>
  </conditionalFormatting>
  <conditionalFormatting sqref="H90">
    <cfRule type="colorScale" priority="148">
      <colorScale>
        <cfvo type="min"/>
        <cfvo type="percentile" val="50"/>
        <cfvo type="max"/>
        <color rgb="FFF8696B"/>
        <color rgb="FFFFC000"/>
        <color rgb="FF63BE7B"/>
      </colorScale>
    </cfRule>
  </conditionalFormatting>
  <conditionalFormatting sqref="H91">
    <cfRule type="colorScale" priority="145">
      <colorScale>
        <cfvo type="min"/>
        <cfvo type="percentile" val="50"/>
        <cfvo type="max"/>
        <color rgb="FFF8696B"/>
        <color rgb="FFFFC000"/>
        <color rgb="FF63BE7B"/>
      </colorScale>
    </cfRule>
  </conditionalFormatting>
  <conditionalFormatting sqref="H92">
    <cfRule type="colorScale" priority="142">
      <colorScale>
        <cfvo type="min"/>
        <cfvo type="percentile" val="50"/>
        <cfvo type="max"/>
        <color rgb="FFF8696B"/>
        <color rgb="FFFFC000"/>
        <color rgb="FF63BE7B"/>
      </colorScale>
    </cfRule>
  </conditionalFormatting>
  <conditionalFormatting sqref="H93">
    <cfRule type="colorScale" priority="139">
      <colorScale>
        <cfvo type="min"/>
        <cfvo type="percentile" val="50"/>
        <cfvo type="max"/>
        <color rgb="FFF8696B"/>
        <color rgb="FFFFC000"/>
        <color rgb="FF63BE7B"/>
      </colorScale>
    </cfRule>
  </conditionalFormatting>
  <conditionalFormatting sqref="H94">
    <cfRule type="colorScale" priority="136">
      <colorScale>
        <cfvo type="min"/>
        <cfvo type="percentile" val="50"/>
        <cfvo type="max"/>
        <color rgb="FFF8696B"/>
        <color rgb="FFFFC000"/>
        <color rgb="FF63BE7B"/>
      </colorScale>
    </cfRule>
  </conditionalFormatting>
  <conditionalFormatting sqref="H99">
    <cfRule type="colorScale" priority="95">
      <colorScale>
        <cfvo type="min"/>
        <cfvo type="percentile" val="50"/>
        <cfvo type="max"/>
        <color rgb="FFF8696B"/>
        <color rgb="FFFFC000"/>
        <color rgb="FF63BE7B"/>
      </colorScale>
    </cfRule>
  </conditionalFormatting>
  <conditionalFormatting sqref="H102">
    <cfRule type="colorScale" priority="71">
      <colorScale>
        <cfvo type="min"/>
        <cfvo type="percentile" val="50"/>
        <cfvo type="max"/>
        <color rgb="FFF8696B"/>
        <color rgb="FFFFC000"/>
        <color rgb="FF63BE7B"/>
      </colorScale>
    </cfRule>
  </conditionalFormatting>
  <conditionalFormatting sqref="H103">
    <cfRule type="colorScale" priority="70">
      <colorScale>
        <cfvo type="min"/>
        <cfvo type="percentile" val="50"/>
        <cfvo type="max"/>
        <color rgb="FFF8696B"/>
        <color rgb="FFFFC000"/>
        <color rgb="FF63BE7B"/>
      </colorScale>
    </cfRule>
  </conditionalFormatting>
  <conditionalFormatting sqref="H104">
    <cfRule type="colorScale" priority="69">
      <colorScale>
        <cfvo type="min"/>
        <cfvo type="percentile" val="50"/>
        <cfvo type="max"/>
        <color rgb="FFF8696B"/>
        <color rgb="FFFFC000"/>
        <color rgb="FF63BE7B"/>
      </colorScale>
    </cfRule>
  </conditionalFormatting>
  <conditionalFormatting sqref="H105">
    <cfRule type="colorScale" priority="68">
      <colorScale>
        <cfvo type="min"/>
        <cfvo type="percentile" val="50"/>
        <cfvo type="max"/>
        <color rgb="FFF8696B"/>
        <color rgb="FFFFC000"/>
        <color rgb="FF63BE7B"/>
      </colorScale>
    </cfRule>
  </conditionalFormatting>
  <conditionalFormatting sqref="H108">
    <cfRule type="colorScale" priority="67">
      <colorScale>
        <cfvo type="min"/>
        <cfvo type="percentile" val="50"/>
        <cfvo type="max"/>
        <color rgb="FFF8696B"/>
        <color rgb="FFFFC000"/>
        <color rgb="FF63BE7B"/>
      </colorScale>
    </cfRule>
  </conditionalFormatting>
  <conditionalFormatting sqref="H109">
    <cfRule type="colorScale" priority="66">
      <colorScale>
        <cfvo type="min"/>
        <cfvo type="percentile" val="50"/>
        <cfvo type="max"/>
        <color rgb="FFF8696B"/>
        <color rgb="FFFFC000"/>
        <color rgb="FF63BE7B"/>
      </colorScale>
    </cfRule>
  </conditionalFormatting>
  <conditionalFormatting sqref="H110">
    <cfRule type="colorScale" priority="65">
      <colorScale>
        <cfvo type="min"/>
        <cfvo type="percentile" val="50"/>
        <cfvo type="max"/>
        <color rgb="FFF8696B"/>
        <color rgb="FFFFC000"/>
        <color rgb="FF63BE7B"/>
      </colorScale>
    </cfRule>
  </conditionalFormatting>
  <conditionalFormatting sqref="H111">
    <cfRule type="colorScale" priority="64">
      <colorScale>
        <cfvo type="min"/>
        <cfvo type="percentile" val="50"/>
        <cfvo type="max"/>
        <color rgb="FFF8696B"/>
        <color rgb="FFFFC000"/>
        <color rgb="FF63BE7B"/>
      </colorScale>
    </cfRule>
    <cfRule type="colorScale" priority="92">
      <colorScale>
        <cfvo type="min"/>
        <cfvo type="percentile" val="50"/>
        <cfvo type="max"/>
        <color rgb="FFF8696B"/>
        <color rgb="FFFFC000"/>
        <color rgb="FF63BE7B"/>
      </colorScale>
    </cfRule>
  </conditionalFormatting>
  <conditionalFormatting sqref="H112">
    <cfRule type="colorScale" priority="89">
      <colorScale>
        <cfvo type="min"/>
        <cfvo type="percentile" val="50"/>
        <cfvo type="max"/>
        <color rgb="FFF8696B"/>
        <color rgb="FFFFC000"/>
        <color rgb="FF63BE7B"/>
      </colorScale>
    </cfRule>
  </conditionalFormatting>
  <conditionalFormatting sqref="H113:H115 H98 H45:H46 H91:H95 H100 H6:H11 H13:H17 H19:H23 H25:H28 H30:H36 H38:H43 H48:H52 H54:H58 H60:H62 H64:H66 H68:H72 H102:H106 H108:H111">
    <cfRule type="colorScale" priority="166">
      <colorScale>
        <cfvo type="min"/>
        <cfvo type="percentile" val="50"/>
        <cfvo type="max"/>
        <color rgb="FFF8696B"/>
        <color rgb="FFFFC000"/>
        <color rgb="FF63BE7B"/>
      </colorScale>
    </cfRule>
  </conditionalFormatting>
  <conditionalFormatting sqref="H6:I11 H45:I46 H54:I58 H74:I83 H98:I100 H102:I106 H13:I17 H19:I23 H25:I28 H30:I36 H38:I43 H48:I52 H60:I62 H64:I66 H68:I72 I79:I84 H86:I96 H108:I115">
    <cfRule type="colorScale" priority="63">
      <colorScale>
        <cfvo type="min"/>
        <cfvo type="percentile" val="50"/>
        <cfvo type="max"/>
        <color rgb="FFF8696B"/>
        <color rgb="FFFFEB84"/>
        <color rgb="FF63BE7B"/>
      </colorScale>
    </cfRule>
  </conditionalFormatting>
  <conditionalFormatting sqref="H6:K11 H45:K46 H54:K58 H98:K100 H102:K106 I84:K84 H13:K17 H19:K23 H25:K28 H30:K36 H38:K43 H48:K52 H60:K62 H64:K66 H68:K72 H74:K83 H86:K96 H108:K115">
    <cfRule type="colorScale" priority="87">
      <colorScale>
        <cfvo type="min"/>
        <cfvo type="percentile" val="50"/>
        <cfvo type="max"/>
        <color rgb="FF63BE7B"/>
        <color rgb="FFFFEB84"/>
        <color rgb="FFF8696B"/>
      </colorScale>
    </cfRule>
  </conditionalFormatting>
  <conditionalFormatting sqref="I3:I4 I116:I1048576">
    <cfRule type="colorScale" priority="1485">
      <colorScale>
        <cfvo type="min"/>
        <cfvo type="percentile" val="50"/>
        <cfvo type="max"/>
        <color rgb="FFF8696B"/>
        <color rgb="FFFFC000"/>
        <color rgb="FF63BE7B"/>
      </colorScale>
    </cfRule>
  </conditionalFormatting>
  <conditionalFormatting sqref="I32">
    <cfRule type="colorScale" priority="162">
      <colorScale>
        <cfvo type="min"/>
        <cfvo type="percentile" val="50"/>
        <cfvo type="max"/>
        <color rgb="FFF8696B"/>
        <color rgb="FFFFC000"/>
        <color rgb="FF63BE7B"/>
      </colorScale>
    </cfRule>
  </conditionalFormatting>
  <conditionalFormatting sqref="I33">
    <cfRule type="colorScale" priority="159">
      <colorScale>
        <cfvo type="min"/>
        <cfvo type="percentile" val="50"/>
        <cfvo type="max"/>
        <color rgb="FFF8696B"/>
        <color rgb="FFFFC000"/>
        <color rgb="FF63BE7B"/>
      </colorScale>
    </cfRule>
  </conditionalFormatting>
  <conditionalFormatting sqref="I33:I34">
    <cfRule type="colorScale" priority="61">
      <colorScale>
        <cfvo type="min"/>
        <cfvo type="percentile" val="50"/>
        <cfvo type="max"/>
        <color rgb="FFF8696B"/>
        <color rgb="FFFFC000"/>
        <color rgb="FF63BE7B"/>
      </colorScale>
    </cfRule>
  </conditionalFormatting>
  <conditionalFormatting sqref="I34">
    <cfRule type="colorScale" priority="156">
      <colorScale>
        <cfvo type="min"/>
        <cfvo type="percentile" val="50"/>
        <cfvo type="max"/>
        <color rgb="FFF8696B"/>
        <color rgb="FFFFC000"/>
        <color rgb="FF63BE7B"/>
      </colorScale>
    </cfRule>
  </conditionalFormatting>
  <conditionalFormatting sqref="I45:I46 H96 I6:I11 I54:I58 I98:I100 I102:I106 I108:I110 I13:I17 I19:I23 I25:I28 I30:I36 I38:I43 I48:I52 I60:I62 I64:I66 I68:I72 I91:I96 I113:I115">
    <cfRule type="colorScale" priority="165">
      <colorScale>
        <cfvo type="min"/>
        <cfvo type="percentile" val="50"/>
        <cfvo type="max"/>
        <color rgb="FFF8696B"/>
        <color rgb="FFFFC000"/>
        <color rgb="FF63BE7B"/>
      </colorScale>
    </cfRule>
  </conditionalFormatting>
  <conditionalFormatting sqref="I74">
    <cfRule type="colorScale" priority="117">
      <colorScale>
        <cfvo type="min"/>
        <cfvo type="percentile" val="50"/>
        <cfvo type="max"/>
        <color rgb="FFF8696B"/>
        <color rgb="FFFFC000"/>
        <color rgb="FF63BE7B"/>
      </colorScale>
    </cfRule>
  </conditionalFormatting>
  <conditionalFormatting sqref="I75">
    <cfRule type="colorScale" priority="116">
      <colorScale>
        <cfvo type="min"/>
        <cfvo type="percentile" val="50"/>
        <cfvo type="max"/>
        <color rgb="FFF8696B"/>
        <color rgb="FFFFC000"/>
        <color rgb="FF63BE7B"/>
      </colorScale>
    </cfRule>
  </conditionalFormatting>
  <conditionalFormatting sqref="I75:I83">
    <cfRule type="colorScale" priority="82">
      <colorScale>
        <cfvo type="min"/>
        <cfvo type="percentile" val="50"/>
        <cfvo type="max"/>
        <color rgb="FFF8696B"/>
        <color rgb="FFFFC000"/>
        <color rgb="FF63BE7B"/>
      </colorScale>
    </cfRule>
  </conditionalFormatting>
  <conditionalFormatting sqref="I76">
    <cfRule type="colorScale" priority="113">
      <colorScale>
        <cfvo type="min"/>
        <cfvo type="percentile" val="50"/>
        <cfvo type="max"/>
        <color rgb="FFF8696B"/>
        <color rgb="FFFFC000"/>
        <color rgb="FF63BE7B"/>
      </colorScale>
    </cfRule>
  </conditionalFormatting>
  <conditionalFormatting sqref="I77">
    <cfRule type="colorScale" priority="114">
      <colorScale>
        <cfvo type="min"/>
        <cfvo type="percentile" val="50"/>
        <cfvo type="max"/>
        <color rgb="FFF8696B"/>
        <color rgb="FFFFC000"/>
        <color rgb="FF63BE7B"/>
      </colorScale>
    </cfRule>
  </conditionalFormatting>
  <conditionalFormatting sqref="I78">
    <cfRule type="colorScale" priority="118">
      <colorScale>
        <cfvo type="min"/>
        <cfvo type="percentile" val="50"/>
        <cfvo type="max"/>
        <color rgb="FFF8696B"/>
        <color rgb="FFFFC000"/>
        <color rgb="FF63BE7B"/>
      </colorScale>
    </cfRule>
  </conditionalFormatting>
  <conditionalFormatting sqref="I79">
    <cfRule type="colorScale" priority="119">
      <colorScale>
        <cfvo type="min"/>
        <cfvo type="percentile" val="50"/>
        <cfvo type="max"/>
        <color rgb="FFF8696B"/>
        <color rgb="FFFFC000"/>
        <color rgb="FF63BE7B"/>
      </colorScale>
    </cfRule>
  </conditionalFormatting>
  <conditionalFormatting sqref="I79:I83">
    <cfRule type="colorScale" priority="1">
      <colorScale>
        <cfvo type="min"/>
        <cfvo type="percentile" val="50"/>
        <cfvo type="max"/>
        <color rgb="FFF8696B"/>
        <color rgb="FFFFC000"/>
        <color rgb="FF63BE7B"/>
      </colorScale>
    </cfRule>
  </conditionalFormatting>
  <conditionalFormatting sqref="I80">
    <cfRule type="colorScale" priority="120">
      <colorScale>
        <cfvo type="min"/>
        <cfvo type="percentile" val="50"/>
        <cfvo type="max"/>
        <color rgb="FFF8696B"/>
        <color rgb="FFFFC000"/>
        <color rgb="FF63BE7B"/>
      </colorScale>
    </cfRule>
  </conditionalFormatting>
  <conditionalFormatting sqref="I81">
    <cfRule type="colorScale" priority="153">
      <colorScale>
        <cfvo type="min"/>
        <cfvo type="percentile" val="50"/>
        <cfvo type="max"/>
        <color rgb="FFF8696B"/>
        <color rgb="FFFFC000"/>
        <color rgb="FF63BE7B"/>
      </colorScale>
    </cfRule>
  </conditionalFormatting>
  <conditionalFormatting sqref="I82">
    <cfRule type="colorScale" priority="150">
      <colorScale>
        <cfvo type="min"/>
        <cfvo type="percentile" val="50"/>
        <cfvo type="max"/>
        <color rgb="FFF8696B"/>
        <color rgb="FFFFC000"/>
        <color rgb="FF63BE7B"/>
      </colorScale>
    </cfRule>
  </conditionalFormatting>
  <conditionalFormatting sqref="I83">
    <cfRule type="colorScale" priority="121">
      <colorScale>
        <cfvo type="min"/>
        <cfvo type="percentile" val="50"/>
        <cfvo type="max"/>
        <color rgb="FFF8696B"/>
        <color rgb="FFFFC000"/>
        <color rgb="FF63BE7B"/>
      </colorScale>
    </cfRule>
  </conditionalFormatting>
  <conditionalFormatting sqref="I84">
    <cfRule type="colorScale" priority="115">
      <colorScale>
        <cfvo type="min"/>
        <cfvo type="percentile" val="50"/>
        <cfvo type="max"/>
        <color rgb="FFF8696B"/>
        <color rgb="FFFFC000"/>
        <color rgb="FF63BE7B"/>
      </colorScale>
    </cfRule>
  </conditionalFormatting>
  <conditionalFormatting sqref="I86">
    <cfRule type="colorScale" priority="124">
      <colorScale>
        <cfvo type="min"/>
        <cfvo type="percentile" val="50"/>
        <cfvo type="max"/>
        <color rgb="FFF8696B"/>
        <color rgb="FFFFC000"/>
        <color rgb="FF63BE7B"/>
      </colorScale>
    </cfRule>
  </conditionalFormatting>
  <conditionalFormatting sqref="I86:I90">
    <cfRule type="colorScale" priority="81">
      <colorScale>
        <cfvo type="min"/>
        <cfvo type="percentile" val="50"/>
        <cfvo type="max"/>
        <color rgb="FFF8696B"/>
        <color rgb="FFFFC000"/>
        <color rgb="FF63BE7B"/>
      </colorScale>
    </cfRule>
  </conditionalFormatting>
  <conditionalFormatting sqref="I87">
    <cfRule type="colorScale" priority="125">
      <colorScale>
        <cfvo type="min"/>
        <cfvo type="percentile" val="50"/>
        <cfvo type="max"/>
        <color rgb="FFF8696B"/>
        <color rgb="FFFFC000"/>
        <color rgb="FF63BE7B"/>
      </colorScale>
    </cfRule>
  </conditionalFormatting>
  <conditionalFormatting sqref="I88">
    <cfRule type="colorScale" priority="128">
      <colorScale>
        <cfvo type="min"/>
        <cfvo type="percentile" val="50"/>
        <cfvo type="max"/>
        <color rgb="FFF8696B"/>
        <color rgb="FFFFC000"/>
        <color rgb="FF63BE7B"/>
      </colorScale>
    </cfRule>
  </conditionalFormatting>
  <conditionalFormatting sqref="I89">
    <cfRule type="colorScale" priority="133">
      <colorScale>
        <cfvo type="min"/>
        <cfvo type="percentile" val="50"/>
        <cfvo type="max"/>
        <color rgb="FFF8696B"/>
        <color rgb="FFFFC000"/>
        <color rgb="FF63BE7B"/>
      </colorScale>
    </cfRule>
  </conditionalFormatting>
  <conditionalFormatting sqref="I90">
    <cfRule type="colorScale" priority="147">
      <colorScale>
        <cfvo type="min"/>
        <cfvo type="percentile" val="50"/>
        <cfvo type="max"/>
        <color rgb="FFF8696B"/>
        <color rgb="FFFFC000"/>
        <color rgb="FF63BE7B"/>
      </colorScale>
    </cfRule>
  </conditionalFormatting>
  <conditionalFormatting sqref="I91">
    <cfRule type="colorScale" priority="144">
      <colorScale>
        <cfvo type="min"/>
        <cfvo type="percentile" val="50"/>
        <cfvo type="max"/>
        <color rgb="FFF8696B"/>
        <color rgb="FFFFC000"/>
        <color rgb="FF63BE7B"/>
      </colorScale>
    </cfRule>
  </conditionalFormatting>
  <conditionalFormatting sqref="I91:I95">
    <cfRule type="colorScale" priority="79">
      <colorScale>
        <cfvo type="min"/>
        <cfvo type="percentile" val="50"/>
        <cfvo type="max"/>
        <color rgb="FFF8696B"/>
        <color rgb="FFFFC000"/>
        <color rgb="FF63BE7B"/>
      </colorScale>
    </cfRule>
    <cfRule type="colorScale" priority="80">
      <colorScale>
        <cfvo type="min"/>
        <cfvo type="percentile" val="50"/>
        <cfvo type="max"/>
        <color rgb="FFF8696B"/>
        <color rgb="FFFFC000"/>
        <color rgb="FF63BE7B"/>
      </colorScale>
    </cfRule>
  </conditionalFormatting>
  <conditionalFormatting sqref="I92">
    <cfRule type="colorScale" priority="141">
      <colorScale>
        <cfvo type="min"/>
        <cfvo type="percentile" val="50"/>
        <cfvo type="max"/>
        <color rgb="FFF8696B"/>
        <color rgb="FFFFC000"/>
        <color rgb="FF63BE7B"/>
      </colorScale>
    </cfRule>
  </conditionalFormatting>
  <conditionalFormatting sqref="I93">
    <cfRule type="colorScale" priority="138">
      <colorScale>
        <cfvo type="min"/>
        <cfvo type="percentile" val="50"/>
        <cfvo type="max"/>
        <color rgb="FFF8696B"/>
        <color rgb="FFFFC000"/>
        <color rgb="FF63BE7B"/>
      </colorScale>
    </cfRule>
  </conditionalFormatting>
  <conditionalFormatting sqref="I94">
    <cfRule type="colorScale" priority="135">
      <colorScale>
        <cfvo type="min"/>
        <cfvo type="percentile" val="50"/>
        <cfvo type="max"/>
        <color rgb="FFF8696B"/>
        <color rgb="FFFFC000"/>
        <color rgb="FF63BE7B"/>
      </colorScale>
    </cfRule>
  </conditionalFormatting>
  <conditionalFormatting sqref="I99">
    <cfRule type="colorScale" priority="94">
      <colorScale>
        <cfvo type="min"/>
        <cfvo type="percentile" val="50"/>
        <cfvo type="max"/>
        <color rgb="FFF8696B"/>
        <color rgb="FFFFC000"/>
        <color rgb="FF63BE7B"/>
      </colorScale>
    </cfRule>
  </conditionalFormatting>
  <conditionalFormatting sqref="I102:I105">
    <cfRule type="colorScale" priority="78">
      <colorScale>
        <cfvo type="min"/>
        <cfvo type="percentile" val="50"/>
        <cfvo type="max"/>
        <color rgb="FFF8696B"/>
        <color rgb="FFFFC000"/>
        <color rgb="FF63BE7B"/>
      </colorScale>
    </cfRule>
    <cfRule type="colorScale" priority="77">
      <colorScale>
        <cfvo type="min"/>
        <cfvo type="percentile" val="50"/>
        <cfvo type="max"/>
        <color rgb="FFF8696B"/>
        <color rgb="FFFFC000"/>
        <color rgb="FF63BE7B"/>
      </colorScale>
    </cfRule>
  </conditionalFormatting>
  <conditionalFormatting sqref="I108:I113">
    <cfRule type="colorScale" priority="76">
      <colorScale>
        <cfvo type="min"/>
        <cfvo type="percentile" val="50"/>
        <cfvo type="max"/>
        <color rgb="FFF8696B"/>
        <color rgb="FFFFC000"/>
        <color rgb="FF63BE7B"/>
      </colorScale>
    </cfRule>
    <cfRule type="colorScale" priority="75">
      <colorScale>
        <cfvo type="min"/>
        <cfvo type="percentile" val="50"/>
        <cfvo type="max"/>
        <color rgb="FFF8696B"/>
        <color rgb="FFFFC000"/>
        <color rgb="FF63BE7B"/>
      </colorScale>
    </cfRule>
  </conditionalFormatting>
  <conditionalFormatting sqref="I111">
    <cfRule type="colorScale" priority="91">
      <colorScale>
        <cfvo type="min"/>
        <cfvo type="percentile" val="50"/>
        <cfvo type="max"/>
        <color rgb="FFF8696B"/>
        <color rgb="FFFFC000"/>
        <color rgb="FF63BE7B"/>
      </colorScale>
    </cfRule>
  </conditionalFormatting>
  <conditionalFormatting sqref="I112">
    <cfRule type="colorScale" priority="88">
      <colorScale>
        <cfvo type="min"/>
        <cfvo type="percentile" val="50"/>
        <cfvo type="max"/>
        <color rgb="FFF8696B"/>
        <color rgb="FFFFC000"/>
        <color rgb="FF63BE7B"/>
      </colorScale>
    </cfRule>
  </conditionalFormatting>
  <conditionalFormatting sqref="J3:K3 J116:K1048576 J4">
    <cfRule type="colorScale" priority="1479">
      <colorScale>
        <cfvo type="min"/>
        <cfvo type="percentile" val="50"/>
        <cfvo type="max"/>
        <color rgb="FFF8696B"/>
        <color rgb="FFFFC000"/>
        <color rgb="FF63BE7B"/>
      </colorScale>
    </cfRule>
  </conditionalFormatting>
  <conditionalFormatting sqref="J32:K32">
    <cfRule type="colorScale" priority="164">
      <colorScale>
        <cfvo type="min"/>
        <cfvo type="percentile" val="50"/>
        <cfvo type="max"/>
        <color rgb="FFF8696B"/>
        <color rgb="FFFFC000"/>
        <color rgb="FF63BE7B"/>
      </colorScale>
    </cfRule>
  </conditionalFormatting>
  <conditionalFormatting sqref="J33:K33">
    <cfRule type="colorScale" priority="161">
      <colorScale>
        <cfvo type="min"/>
        <cfvo type="percentile" val="50"/>
        <cfvo type="max"/>
        <color rgb="FFF8696B"/>
        <color rgb="FFFFC000"/>
        <color rgb="FF63BE7B"/>
      </colorScale>
    </cfRule>
  </conditionalFormatting>
  <conditionalFormatting sqref="J34:K34">
    <cfRule type="colorScale" priority="158">
      <colorScale>
        <cfvo type="min"/>
        <cfvo type="percentile" val="50"/>
        <cfvo type="max"/>
        <color rgb="FFF8696B"/>
        <color rgb="FFFFC000"/>
        <color rgb="FF63BE7B"/>
      </colorScale>
    </cfRule>
  </conditionalFormatting>
  <conditionalFormatting sqref="J74:K83">
    <cfRule type="colorScale" priority="98">
      <colorScale>
        <cfvo type="min"/>
        <cfvo type="percentile" val="50"/>
        <cfvo type="max"/>
        <color rgb="FFF8696B"/>
        <color rgb="FFFFC000"/>
        <color rgb="FF63BE7B"/>
      </colorScale>
    </cfRule>
    <cfRule type="colorScale" priority="60">
      <colorScale>
        <cfvo type="min"/>
        <cfvo type="percentile" val="50"/>
        <cfvo type="max"/>
        <color rgb="FFF8696B"/>
        <color rgb="FFFFC000"/>
        <color rgb="FF63BE7B"/>
      </colorScale>
    </cfRule>
  </conditionalFormatting>
  <conditionalFormatting sqref="J75:K75">
    <cfRule type="colorScale" priority="99">
      <colorScale>
        <cfvo type="min"/>
        <cfvo type="percentile" val="50"/>
        <cfvo type="max"/>
        <color rgb="FFF8696B"/>
        <color rgb="FFFFC000"/>
        <color rgb="FF63BE7B"/>
      </colorScale>
    </cfRule>
  </conditionalFormatting>
  <conditionalFormatting sqref="J75:K83">
    <cfRule type="colorScale" priority="62">
      <colorScale>
        <cfvo type="min"/>
        <cfvo type="percentile" val="50"/>
        <cfvo type="max"/>
        <color rgb="FFF8696B"/>
        <color rgb="FFFFC000"/>
        <color rgb="FF63BE7B"/>
      </colorScale>
    </cfRule>
  </conditionalFormatting>
  <conditionalFormatting sqref="J76:K76">
    <cfRule type="colorScale" priority="100">
      <colorScale>
        <cfvo type="min"/>
        <cfvo type="percentile" val="50"/>
        <cfvo type="max"/>
        <color rgb="FFF8696B"/>
        <color rgb="FFFFC000"/>
        <color rgb="FF63BE7B"/>
      </colorScale>
    </cfRule>
  </conditionalFormatting>
  <conditionalFormatting sqref="J77:K77">
    <cfRule type="colorScale" priority="101">
      <colorScale>
        <cfvo type="min"/>
        <cfvo type="percentile" val="50"/>
        <cfvo type="max"/>
        <color rgb="FFF8696B"/>
        <color rgb="FFFFC000"/>
        <color rgb="FF63BE7B"/>
      </colorScale>
    </cfRule>
  </conditionalFormatting>
  <conditionalFormatting sqref="J78:K78">
    <cfRule type="colorScale" priority="102">
      <colorScale>
        <cfvo type="min"/>
        <cfvo type="percentile" val="50"/>
        <cfvo type="max"/>
        <color rgb="FFF8696B"/>
        <color rgb="FFFFC000"/>
        <color rgb="FF63BE7B"/>
      </colorScale>
    </cfRule>
  </conditionalFormatting>
  <conditionalFormatting sqref="J79:K79">
    <cfRule type="colorScale" priority="103">
      <colorScale>
        <cfvo type="min"/>
        <cfvo type="percentile" val="50"/>
        <cfvo type="max"/>
        <color rgb="FFF8696B"/>
        <color rgb="FFFFC000"/>
        <color rgb="FF63BE7B"/>
      </colorScale>
    </cfRule>
  </conditionalFormatting>
  <conditionalFormatting sqref="J80:K80">
    <cfRule type="colorScale" priority="104">
      <colorScale>
        <cfvo type="min"/>
        <cfvo type="percentile" val="50"/>
        <cfvo type="max"/>
        <color rgb="FFF8696B"/>
        <color rgb="FFFFC000"/>
        <color rgb="FF63BE7B"/>
      </colorScale>
    </cfRule>
  </conditionalFormatting>
  <conditionalFormatting sqref="J81:K81">
    <cfRule type="colorScale" priority="155">
      <colorScale>
        <cfvo type="min"/>
        <cfvo type="percentile" val="50"/>
        <cfvo type="max"/>
        <color rgb="FFF8696B"/>
        <color rgb="FFFFC000"/>
        <color rgb="FF63BE7B"/>
      </colorScale>
    </cfRule>
  </conditionalFormatting>
  <conditionalFormatting sqref="J82:K82">
    <cfRule type="colorScale" priority="152">
      <colorScale>
        <cfvo type="min"/>
        <cfvo type="percentile" val="50"/>
        <cfvo type="max"/>
        <color rgb="FFF8696B"/>
        <color rgb="FFFFC000"/>
        <color rgb="FF63BE7B"/>
      </colorScale>
    </cfRule>
  </conditionalFormatting>
  <conditionalFormatting sqref="J83:K83">
    <cfRule type="colorScale" priority="97">
      <colorScale>
        <cfvo type="min"/>
        <cfvo type="percentile" val="50"/>
        <cfvo type="max"/>
        <color rgb="FFF8696B"/>
        <color rgb="FFFFC000"/>
        <color rgb="FF63BE7B"/>
      </colorScale>
    </cfRule>
    <cfRule type="colorScale" priority="17">
      <colorScale>
        <cfvo type="min"/>
        <cfvo type="percentile" val="50"/>
        <cfvo type="max"/>
        <color rgb="FFF8696B"/>
        <color rgb="FFFFC000"/>
        <color rgb="FF63BE7B"/>
      </colorScale>
    </cfRule>
  </conditionalFormatting>
  <conditionalFormatting sqref="J84:K84 J6:K11 J13:K17 J19:K23 J25:K28 J30:K36 J38:K43 J45:K46 J48:K52 J54:K58 J60:K62 J64:K66 J68:K72 J86:K96 J98:K100 J102:K106 J108:K115">
    <cfRule type="colorScale" priority="167">
      <colorScale>
        <cfvo type="min"/>
        <cfvo type="percentile" val="50"/>
        <cfvo type="max"/>
        <color rgb="FFF8696B"/>
        <color rgb="FFFFC000"/>
        <color rgb="FF63BE7B"/>
      </colorScale>
    </cfRule>
  </conditionalFormatting>
  <conditionalFormatting sqref="J86:K86">
    <cfRule type="colorScale" priority="129">
      <colorScale>
        <cfvo type="min"/>
        <cfvo type="percentile" val="50"/>
        <cfvo type="max"/>
        <color rgb="FFF8696B"/>
        <color rgb="FFFFC000"/>
        <color rgb="FF63BE7B"/>
      </colorScale>
    </cfRule>
  </conditionalFormatting>
  <conditionalFormatting sqref="J86:K95">
    <cfRule type="colorScale" priority="15">
      <colorScale>
        <cfvo type="min"/>
        <cfvo type="percentile" val="50"/>
        <cfvo type="max"/>
        <color rgb="FFF8696B"/>
        <color rgb="FFFFC000"/>
        <color rgb="FF63BE7B"/>
      </colorScale>
    </cfRule>
    <cfRule type="colorScale" priority="16">
      <colorScale>
        <cfvo type="min"/>
        <cfvo type="percentile" val="50"/>
        <cfvo type="max"/>
        <color rgb="FFF8696B"/>
        <color rgb="FFFFC000"/>
        <color rgb="FF63BE7B"/>
      </colorScale>
    </cfRule>
  </conditionalFormatting>
  <conditionalFormatting sqref="J87:K87">
    <cfRule type="colorScale" priority="130">
      <colorScale>
        <cfvo type="min"/>
        <cfvo type="percentile" val="50"/>
        <cfvo type="max"/>
        <color rgb="FFF8696B"/>
        <color rgb="FFFFC000"/>
        <color rgb="FF63BE7B"/>
      </colorScale>
    </cfRule>
  </conditionalFormatting>
  <conditionalFormatting sqref="J88:K88">
    <cfRule type="colorScale" priority="131">
      <colorScale>
        <cfvo type="min"/>
        <cfvo type="percentile" val="50"/>
        <cfvo type="max"/>
        <color rgb="FFF8696B"/>
        <color rgb="FFFFC000"/>
        <color rgb="FF63BE7B"/>
      </colorScale>
    </cfRule>
  </conditionalFormatting>
  <conditionalFormatting sqref="J89:K89">
    <cfRule type="colorScale" priority="132">
      <colorScale>
        <cfvo type="min"/>
        <cfvo type="percentile" val="50"/>
        <cfvo type="max"/>
        <color rgb="FFF8696B"/>
        <color rgb="FFFFC000"/>
        <color rgb="FF63BE7B"/>
      </colorScale>
    </cfRule>
  </conditionalFormatting>
  <conditionalFormatting sqref="J90:K90">
    <cfRule type="colorScale" priority="149">
      <colorScale>
        <cfvo type="min"/>
        <cfvo type="percentile" val="50"/>
        <cfvo type="max"/>
        <color rgb="FFF8696B"/>
        <color rgb="FFFFC000"/>
        <color rgb="FF63BE7B"/>
      </colorScale>
    </cfRule>
  </conditionalFormatting>
  <conditionalFormatting sqref="J91:K91">
    <cfRule type="colorScale" priority="146">
      <colorScale>
        <cfvo type="min"/>
        <cfvo type="percentile" val="50"/>
        <cfvo type="max"/>
        <color rgb="FFF8696B"/>
        <color rgb="FFFFC000"/>
        <color rgb="FF63BE7B"/>
      </colorScale>
    </cfRule>
  </conditionalFormatting>
  <conditionalFormatting sqref="J92:K92">
    <cfRule type="colorScale" priority="143">
      <colorScale>
        <cfvo type="min"/>
        <cfvo type="percentile" val="50"/>
        <cfvo type="max"/>
        <color rgb="FFF8696B"/>
        <color rgb="FFFFC000"/>
        <color rgb="FF63BE7B"/>
      </colorScale>
    </cfRule>
  </conditionalFormatting>
  <conditionalFormatting sqref="J93:K93">
    <cfRule type="colorScale" priority="140">
      <colorScale>
        <cfvo type="min"/>
        <cfvo type="percentile" val="50"/>
        <cfvo type="max"/>
        <color rgb="FFF8696B"/>
        <color rgb="FFFFC000"/>
        <color rgb="FF63BE7B"/>
      </colorScale>
    </cfRule>
  </conditionalFormatting>
  <conditionalFormatting sqref="J94:K94">
    <cfRule type="colorScale" priority="137">
      <colorScale>
        <cfvo type="min"/>
        <cfvo type="percentile" val="50"/>
        <cfvo type="max"/>
        <color rgb="FFF8696B"/>
        <color rgb="FFFFC000"/>
        <color rgb="FF63BE7B"/>
      </colorScale>
    </cfRule>
  </conditionalFormatting>
  <conditionalFormatting sqref="J98:K99">
    <cfRule type="colorScale" priority="14">
      <colorScale>
        <cfvo type="min"/>
        <cfvo type="percentile" val="50"/>
        <cfvo type="max"/>
        <color rgb="FFF8696B"/>
        <color rgb="FFFFC000"/>
        <color rgb="FF63BE7B"/>
      </colorScale>
    </cfRule>
    <cfRule type="colorScale" priority="13">
      <colorScale>
        <cfvo type="min"/>
        <cfvo type="percentile" val="50"/>
        <cfvo type="max"/>
        <color rgb="FFF8696B"/>
        <color rgb="FFFFC000"/>
        <color rgb="FF63BE7B"/>
      </colorScale>
    </cfRule>
  </conditionalFormatting>
  <conditionalFormatting sqref="J99:K99">
    <cfRule type="colorScale" priority="96">
      <colorScale>
        <cfvo type="min"/>
        <cfvo type="percentile" val="50"/>
        <cfvo type="max"/>
        <color rgb="FFF8696B"/>
        <color rgb="FFFFC000"/>
        <color rgb="FF63BE7B"/>
      </colorScale>
    </cfRule>
  </conditionalFormatting>
  <conditionalFormatting sqref="J102:K105">
    <cfRule type="colorScale" priority="11">
      <colorScale>
        <cfvo type="min"/>
        <cfvo type="percentile" val="50"/>
        <cfvo type="max"/>
        <color rgb="FFF8696B"/>
        <color rgb="FFFFC000"/>
        <color rgb="FF63BE7B"/>
      </colorScale>
    </cfRule>
    <cfRule type="colorScale" priority="12">
      <colorScale>
        <cfvo type="min"/>
        <cfvo type="percentile" val="50"/>
        <cfvo type="max"/>
        <color rgb="FFF8696B"/>
        <color rgb="FFFFC000"/>
        <color rgb="FF63BE7B"/>
      </colorScale>
    </cfRule>
  </conditionalFormatting>
  <conditionalFormatting sqref="J108:K113">
    <cfRule type="colorScale" priority="10">
      <colorScale>
        <cfvo type="min"/>
        <cfvo type="percentile" val="50"/>
        <cfvo type="max"/>
        <color rgb="FFF8696B"/>
        <color rgb="FFFFC000"/>
        <color rgb="FF63BE7B"/>
      </colorScale>
    </cfRule>
    <cfRule type="colorScale" priority="9">
      <colorScale>
        <cfvo type="min"/>
        <cfvo type="percentile" val="50"/>
        <cfvo type="max"/>
        <color rgb="FFF8696B"/>
        <color rgb="FFFFC000"/>
        <color rgb="FF63BE7B"/>
      </colorScale>
    </cfRule>
  </conditionalFormatting>
  <conditionalFormatting sqref="J111:K111">
    <cfRule type="colorScale" priority="93">
      <colorScale>
        <cfvo type="min"/>
        <cfvo type="percentile" val="50"/>
        <cfvo type="max"/>
        <color rgb="FFF8696B"/>
        <color rgb="FFFFC000"/>
        <color rgb="FF63BE7B"/>
      </colorScale>
    </cfRule>
  </conditionalFormatting>
  <conditionalFormatting sqref="J112:K112">
    <cfRule type="colorScale" priority="90">
      <colorScale>
        <cfvo type="min"/>
        <cfvo type="percentile" val="50"/>
        <cfvo type="max"/>
        <color rgb="FFF8696B"/>
        <color rgb="FFFFC000"/>
        <color rgb="FF63BE7B"/>
      </colorScale>
    </cfRule>
  </conditionalFormatting>
  <conditionalFormatting sqref="K1:K3 K5:K1048576">
    <cfRule type="dataBar" priority="6">
      <dataBar>
        <cfvo type="min"/>
        <cfvo type="max"/>
        <color rgb="FF63C384"/>
      </dataBar>
      <extLst>
        <ext xmlns:x14="http://schemas.microsoft.com/office/spreadsheetml/2009/9/main" uri="{B025F937-C7B1-47D3-B67F-A62EFF666E3E}">
          <x14:id>{2124BB95-F000-4A4F-B75E-658240FA6BF7}</x14:id>
        </ext>
      </extLst>
    </cfRule>
    <cfRule type="colorScale" priority="7">
      <colorScale>
        <cfvo type="min"/>
        <cfvo type="percentile" val="50"/>
        <cfvo type="max"/>
        <color rgb="FFF8696B"/>
        <color rgb="FFFFEB84"/>
        <color rgb="FF63BE7B"/>
      </colorScale>
    </cfRule>
  </conditionalFormatting>
  <conditionalFormatting sqref="K74:K83">
    <cfRule type="colorScale" priority="8">
      <colorScale>
        <cfvo type="min"/>
        <cfvo type="percentile" val="50"/>
        <cfvo type="max"/>
        <color rgb="FFF8696B"/>
        <color rgb="FFFFC000"/>
        <color rgb="FF63BE7B"/>
      </colorScale>
    </cfRule>
  </conditionalFormatting>
  <conditionalFormatting sqref="W4:BR4">
    <cfRule type="expression" dxfId="63" priority="1235">
      <formula>W$4=period_selected</formula>
    </cfRule>
  </conditionalFormatting>
  <conditionalFormatting sqref="W5:BR115">
    <cfRule type="expression" dxfId="62" priority="398">
      <formula>PercentCompleteBeyond</formula>
    </cfRule>
    <cfRule type="expression" dxfId="61" priority="399">
      <formula>Actual</formula>
    </cfRule>
    <cfRule type="expression" dxfId="60" priority="400">
      <formula>ActualBeyond</formula>
    </cfRule>
    <cfRule type="expression" dxfId="59" priority="401">
      <formula>Plan</formula>
    </cfRule>
    <cfRule type="expression" dxfId="58" priority="402">
      <formula>W$4=period_selected</formula>
    </cfRule>
    <cfRule type="expression" dxfId="57" priority="403">
      <formula>MOD(COLUMN(),2)</formula>
    </cfRule>
    <cfRule type="expression" dxfId="56" priority="404">
      <formula>MOD(COLUMN(),2)=0</formula>
    </cfRule>
    <cfRule type="expression" dxfId="55" priority="397">
      <formula>PercentComplete</formula>
    </cfRule>
  </conditionalFormatting>
  <dataValidations disablePrompts="1" count="12">
    <dataValidation allowBlank="1" showInputMessage="1" showErrorMessage="1" prompt="Select a period to highlight in H2. A Chart legend is in J2 to AI2" sqref="R2:U2" xr:uid="{C9CDB5FB-F964-4A1F-B222-739A7E46661D}"/>
    <dataValidation allowBlank="1" showInputMessage="1" showErrorMessage="1" prompt="Enter the percentage of project completed in column G, starting with cell G5" sqref="V3:V4" xr:uid="{D071AE16-0DCB-455A-B9F5-91B88769011B}"/>
    <dataValidation allowBlank="1" showInputMessage="1" showErrorMessage="1" prompt="Enter actual duration period in column F, starting with cell F5" sqref="U3:U4" xr:uid="{6A9A4DF0-E96F-4DF3-93C1-9D8BA19E7F90}"/>
    <dataValidation allowBlank="1" showInputMessage="1" showErrorMessage="1" prompt="Enter actual start period in column E, starting with cell E5" sqref="T3:T4" xr:uid="{612F30E3-235A-49D1-8D7B-0FBCAA39BFD0}"/>
    <dataValidation allowBlank="1" showInputMessage="1" showErrorMessage="1" prompt="Enter plan duration period in column D, starting with cell D5" sqref="S3:S4" xr:uid="{5C2C4CFE-A355-4188-954C-03D0A0F9B4D6}"/>
    <dataValidation allowBlank="1" showInputMessage="1" showErrorMessage="1" prompt="Enter plan start period in column C, starting with cell C5" sqref="R3:R4" xr:uid="{585651CB-E5CE-4831-A4AD-169A64F26AB2}"/>
    <dataValidation allowBlank="1" showInputMessage="1" showErrorMessage="1" prompt="This legend cell indicates the percentage of project completed beyond plan" sqref="AW2" xr:uid="{6CF9C98C-D2F7-4F29-AA3E-55B044AFE9AD}"/>
    <dataValidation allowBlank="1" showInputMessage="1" showErrorMessage="1" prompt="This legend cell indicates actual duration beyond plan" sqref="AO2" xr:uid="{007A6497-10FF-4DA4-9B6A-B175DE8E9481}"/>
    <dataValidation allowBlank="1" showInputMessage="1" showErrorMessage="1" prompt="This legend cell indicates the percentage of project completed" sqref="AJ2" xr:uid="{22FEB408-0559-421B-A3C3-61854C12DC85}"/>
    <dataValidation allowBlank="1" showInputMessage="1" showErrorMessage="1" prompt="This legend cell indicates actual duration" sqref="AE2" xr:uid="{A4B1E038-52A3-4FBD-A27C-4DCA38898298}"/>
    <dataValidation allowBlank="1" showInputMessage="1" showErrorMessage="1" prompt="This legend cell indicates plan duration" sqref="Y2" xr:uid="{9DF24BB1-037D-4E82-BD20-8EC93F2C1087}"/>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W2" xr:uid="{98552480-E6E4-41B4-8814-C6ABC545BD3E}">
      <formula1>"1,2,3,4,5,6,7,8,9,10,11,12,13,14,15,16,17,18,19,20,21,22,23,24,25,26,27,28,29,30,31,32,33,34,35,36,37,38,39,40,41,42,43,44,45,46,47,48,49,50,51,52,53,54,55,56,57,58,59,60"</formula1>
    </dataValidation>
  </dataValidations>
  <printOptions horizontalCentered="1"/>
  <pageMargins left="0.45" right="0.45" top="0.5" bottom="0.5" header="0.3" footer="0.3"/>
  <pageSetup paperSize="8" scale="38" fitToHeight="0" orientation="landscape" r:id="rId1"/>
  <headerFooter differentFirst="1">
    <oddFooter>Page &amp;P of &amp;N</oddFooter>
  </headerFooter>
  <ignoredErrors>
    <ignoredError sqref="J114" formula="1"/>
  </ignoredErrors>
  <drawing r:id="rId2"/>
  <extLst>
    <ext xmlns:x14="http://schemas.microsoft.com/office/spreadsheetml/2009/9/main" uri="{78C0D931-6437-407d-A8EE-F0AAD7539E65}">
      <x14:conditionalFormattings>
        <x14:conditionalFormatting xmlns:xm="http://schemas.microsoft.com/office/excel/2006/main">
          <x14:cfRule type="dataBar" id="{2124BB95-F000-4A4F-B75E-658240FA6BF7}">
            <x14:dataBar minLength="0" maxLength="100" border="1" negativeBarBorderColorSameAsPositive="0">
              <x14:cfvo type="autoMin"/>
              <x14:cfvo type="autoMax"/>
              <x14:borderColor rgb="FF63C384"/>
              <x14:negativeFillColor rgb="FFFF0000"/>
              <x14:negativeBorderColor rgb="FFFF0000"/>
              <x14:axisColor rgb="FF000000"/>
            </x14:dataBar>
          </x14:cfRule>
          <xm:sqref>K1:K3 K5:K1048576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4EB1-0CFA-4930-8CBF-531569D33443}">
  <dimension ref="A1:K20"/>
  <sheetViews>
    <sheetView zoomScale="70" zoomScaleNormal="70" workbookViewId="0">
      <selection activeCell="F17" sqref="F17"/>
    </sheetView>
  </sheetViews>
  <sheetFormatPr defaultRowHeight="15" x14ac:dyDescent="0.2"/>
  <cols>
    <col min="1" max="8" width="16.5" style="53" customWidth="1"/>
    <col min="10" max="11" width="26.375" customWidth="1"/>
  </cols>
  <sheetData>
    <row r="1" spans="1:11" ht="31.5" customHeight="1" thickBot="1" x14ac:dyDescent="0.25">
      <c r="A1" s="440" t="s">
        <v>705</v>
      </c>
      <c r="B1" s="441"/>
      <c r="C1" s="441"/>
      <c r="D1" s="441"/>
      <c r="E1" s="441"/>
      <c r="F1" s="441"/>
      <c r="G1" s="441"/>
      <c r="H1" s="442"/>
      <c r="J1" s="423" t="s">
        <v>723</v>
      </c>
      <c r="K1" s="424"/>
    </row>
    <row r="2" spans="1:11" ht="54.4" customHeight="1" x14ac:dyDescent="0.2">
      <c r="A2" s="199" t="s">
        <v>704</v>
      </c>
      <c r="B2" s="196" t="str">
        <f>'Subcategory Summary'!BU3</f>
        <v>Area</v>
      </c>
      <c r="C2" s="202" t="s">
        <v>698</v>
      </c>
      <c r="D2" s="198" t="s">
        <v>699</v>
      </c>
      <c r="E2" s="198" t="s">
        <v>12</v>
      </c>
      <c r="F2" s="198" t="s">
        <v>13</v>
      </c>
      <c r="G2" s="197" t="s">
        <v>706</v>
      </c>
      <c r="H2" s="200" t="str">
        <f>'Subcategory Summary'!BV3</f>
        <v>Improvement</v>
      </c>
      <c r="J2" s="189" t="s">
        <v>717</v>
      </c>
      <c r="K2" s="190" t="s">
        <v>706</v>
      </c>
    </row>
    <row r="3" spans="1:11" ht="45" customHeight="1" x14ac:dyDescent="0.2">
      <c r="A3" s="154" t="str">
        <f>'Subcategory Summary'!BT5</f>
        <v>MANAGE</v>
      </c>
      <c r="B3" s="153" t="str">
        <f>'Subcategory Summary'!BU5</f>
        <v>01. Organisational Governance</v>
      </c>
      <c r="C3" s="150">
        <f>'Subcategory Summary'!G11</f>
        <v>0.6</v>
      </c>
      <c r="D3" s="150">
        <f>'Subcategory Summary'!H11</f>
        <v>3.4</v>
      </c>
      <c r="E3" s="150">
        <f>'Subcategory Summary'!I11</f>
        <v>3</v>
      </c>
      <c r="F3" s="150">
        <f>'Subcategory Summary'!J11</f>
        <v>-0.4</v>
      </c>
      <c r="G3" s="197" t="str">
        <f>VLOOKUP(D3,$J$2:$K$8,2,TRUE)</f>
        <v>Target</v>
      </c>
      <c r="H3" s="155">
        <f>'Subcategory Summary'!BV5</f>
        <v>2.8</v>
      </c>
      <c r="J3" s="191">
        <v>0</v>
      </c>
      <c r="K3" s="192" t="s">
        <v>724</v>
      </c>
    </row>
    <row r="4" spans="1:11" ht="41.45" customHeight="1" x14ac:dyDescent="0.2">
      <c r="A4" s="154" t="str">
        <f>'Subcategory Summary'!BT6</f>
        <v>MANAGE</v>
      </c>
      <c r="B4" s="153" t="str">
        <f>'Subcategory Summary'!BU6</f>
        <v>02. Risk Management</v>
      </c>
      <c r="C4" s="150">
        <f>'Subcategory Summary'!G17</f>
        <v>3</v>
      </c>
      <c r="D4" s="150">
        <f>'Subcategory Summary'!H17</f>
        <v>4.5</v>
      </c>
      <c r="E4" s="150">
        <f>'Subcategory Summary'!I17</f>
        <v>3</v>
      </c>
      <c r="F4" s="150">
        <f>'Subcategory Summary'!J17</f>
        <v>-1.5</v>
      </c>
      <c r="G4" s="197" t="str">
        <f t="shared" ref="G4:G20" si="0">VLOOKUP(D4,$J$2:$K$8,2,TRUE)</f>
        <v>Partial Advanced</v>
      </c>
      <c r="H4" s="155">
        <f>'Subcategory Summary'!BV6</f>
        <v>1.5</v>
      </c>
      <c r="J4" s="191">
        <v>1</v>
      </c>
      <c r="K4" s="192" t="s">
        <v>722</v>
      </c>
    </row>
    <row r="5" spans="1:11" ht="47.45" customHeight="1" x14ac:dyDescent="0.2">
      <c r="A5" s="154" t="str">
        <f>'Subcategory Summary'!BT7</f>
        <v>MANAGE</v>
      </c>
      <c r="B5" s="153" t="str">
        <f>'Subcategory Summary'!BU7</f>
        <v>03. Supplier Management</v>
      </c>
      <c r="C5" s="150">
        <f>'Subcategory Summary'!G23</f>
        <v>1.75</v>
      </c>
      <c r="D5" s="150">
        <f>'Subcategory Summary'!H23</f>
        <v>4.75</v>
      </c>
      <c r="E5" s="150">
        <f>'Subcategory Summary'!I23</f>
        <v>3</v>
      </c>
      <c r="F5" s="150">
        <f>'Subcategory Summary'!J23</f>
        <v>-1.75</v>
      </c>
      <c r="G5" s="197" t="str">
        <f t="shared" si="0"/>
        <v>Partial Advanced</v>
      </c>
      <c r="H5" s="155">
        <f>'Subcategory Summary'!BV7</f>
        <v>3</v>
      </c>
      <c r="J5" s="191">
        <v>2</v>
      </c>
      <c r="K5" s="192" t="s">
        <v>721</v>
      </c>
    </row>
    <row r="6" spans="1:11" ht="51" customHeight="1" x14ac:dyDescent="0.2">
      <c r="A6" s="154" t="str">
        <f>'Subcategory Summary'!BT8</f>
        <v>MANAGE</v>
      </c>
      <c r="B6" s="153" t="str">
        <f>'Subcategory Summary'!BU8</f>
        <v>04. Asset Management</v>
      </c>
      <c r="C6" s="150">
        <f>'Subcategory Summary'!G28</f>
        <v>4.666666666666667</v>
      </c>
      <c r="D6" s="150">
        <f>'Subcategory Summary'!H28</f>
        <v>4.666666666666667</v>
      </c>
      <c r="E6" s="150">
        <f>'Subcategory Summary'!I28</f>
        <v>3</v>
      </c>
      <c r="F6" s="150">
        <f>'Subcategory Summary'!J28</f>
        <v>-1.6666666666666667</v>
      </c>
      <c r="G6" s="197" t="str">
        <f t="shared" si="0"/>
        <v>Partial Advanced</v>
      </c>
      <c r="H6" s="155">
        <f>'Subcategory Summary'!BV8</f>
        <v>0</v>
      </c>
      <c r="J6" s="191">
        <v>3</v>
      </c>
      <c r="K6" s="192" t="s">
        <v>720</v>
      </c>
    </row>
    <row r="7" spans="1:11" ht="45" x14ac:dyDescent="0.2">
      <c r="A7" s="156" t="str">
        <f>'Subcategory Summary'!BT9</f>
        <v>PROTECT</v>
      </c>
      <c r="B7" s="153" t="str">
        <f>'Subcategory Summary'!BU9</f>
        <v>05. Information Security Management</v>
      </c>
      <c r="C7" s="150">
        <f>'Subcategory Summary'!G36</f>
        <v>1.8333333333333333</v>
      </c>
      <c r="D7" s="150">
        <f>'Subcategory Summary'!H36</f>
        <v>2.3333333333333335</v>
      </c>
      <c r="E7" s="150">
        <f>'Subcategory Summary'!I36</f>
        <v>3</v>
      </c>
      <c r="F7" s="150">
        <f>'Subcategory Summary'!J36</f>
        <v>0.66666666666666663</v>
      </c>
      <c r="G7" s="197" t="str">
        <f t="shared" si="0"/>
        <v>Partial Target</v>
      </c>
      <c r="H7" s="155">
        <f>'Subcategory Summary'!BV9</f>
        <v>0.50000000000000022</v>
      </c>
      <c r="J7" s="191">
        <v>4</v>
      </c>
      <c r="K7" s="192" t="s">
        <v>719</v>
      </c>
    </row>
    <row r="8" spans="1:11" ht="51" customHeight="1" thickBot="1" x14ac:dyDescent="0.25">
      <c r="A8" s="156" t="str">
        <f>'Subcategory Summary'!BT10</f>
        <v>PROTECT</v>
      </c>
      <c r="B8" s="153" t="str">
        <f>'Subcategory Summary'!BU10</f>
        <v>06. People</v>
      </c>
      <c r="C8" s="150">
        <f>'Subcategory Summary'!G43</f>
        <v>3.4</v>
      </c>
      <c r="D8" s="150">
        <f>'Subcategory Summary'!H43</f>
        <v>3.8</v>
      </c>
      <c r="E8" s="150">
        <f>'Subcategory Summary'!I43</f>
        <v>3</v>
      </c>
      <c r="F8" s="150">
        <f>'Subcategory Summary'!J43</f>
        <v>-0.8</v>
      </c>
      <c r="G8" s="197" t="str">
        <f t="shared" si="0"/>
        <v>Target</v>
      </c>
      <c r="H8" s="155">
        <f>'Subcategory Summary'!BV10</f>
        <v>0.39999999999999991</v>
      </c>
      <c r="J8" s="193">
        <v>5</v>
      </c>
      <c r="K8" s="194" t="s">
        <v>718</v>
      </c>
    </row>
    <row r="9" spans="1:11" ht="46.9" customHeight="1" x14ac:dyDescent="0.2">
      <c r="A9" s="156" t="str">
        <f>'Subcategory Summary'!BT11</f>
        <v>PROTECT</v>
      </c>
      <c r="B9" s="153" t="str">
        <f>'Subcategory Summary'!BU11</f>
        <v>07. Service Resilience</v>
      </c>
      <c r="C9" s="150">
        <f>'Subcategory Summary'!G46</f>
        <v>1</v>
      </c>
      <c r="D9" s="150">
        <f>'Subcategory Summary'!H46</f>
        <v>1</v>
      </c>
      <c r="E9" s="150">
        <f>'Subcategory Summary'!I46</f>
        <v>3</v>
      </c>
      <c r="F9" s="150">
        <f>'Subcategory Summary'!J46</f>
        <v>2</v>
      </c>
      <c r="G9" s="197" t="str">
        <f t="shared" si="0"/>
        <v>Baseline</v>
      </c>
      <c r="H9" s="155">
        <f>'Subcategory Summary'!BV11</f>
        <v>0</v>
      </c>
    </row>
    <row r="10" spans="1:11" ht="44.45" customHeight="1" x14ac:dyDescent="0.2">
      <c r="A10" s="156" t="str">
        <f>'Subcategory Summary'!BT12</f>
        <v>PROTECT</v>
      </c>
      <c r="B10" s="153" t="str">
        <f>'Subcategory Summary'!BU12</f>
        <v>08. Access Control</v>
      </c>
      <c r="C10" s="150">
        <f>'Subcategory Summary'!G52</f>
        <v>3.25</v>
      </c>
      <c r="D10" s="150">
        <f>'Subcategory Summary'!H52</f>
        <v>3.25</v>
      </c>
      <c r="E10" s="150">
        <f>'Subcategory Summary'!I52</f>
        <v>3</v>
      </c>
      <c r="F10" s="150">
        <f>'Subcategory Summary'!J52</f>
        <v>-0.25</v>
      </c>
      <c r="G10" s="197" t="str">
        <f t="shared" si="0"/>
        <v>Target</v>
      </c>
      <c r="H10" s="155">
        <f>'Subcategory Summary'!BV12</f>
        <v>0</v>
      </c>
    </row>
    <row r="11" spans="1:11" ht="45" customHeight="1" x14ac:dyDescent="0.2">
      <c r="A11" s="156" t="str">
        <f>'Subcategory Summary'!BT13</f>
        <v>PROTECT</v>
      </c>
      <c r="B11" s="153" t="str">
        <f>'Subcategory Summary'!BU13</f>
        <v>09. Media Management</v>
      </c>
      <c r="C11" s="150">
        <f>'Subcategory Summary'!G58</f>
        <v>2.75</v>
      </c>
      <c r="D11" s="150">
        <f>'Subcategory Summary'!H58</f>
        <v>3.5</v>
      </c>
      <c r="E11" s="150">
        <f>'Subcategory Summary'!I58</f>
        <v>3</v>
      </c>
      <c r="F11" s="150">
        <f>'Subcategory Summary'!J58</f>
        <v>-0.5</v>
      </c>
      <c r="G11" s="197" t="str">
        <f t="shared" si="0"/>
        <v>Target</v>
      </c>
      <c r="H11" s="155">
        <f>'Subcategory Summary'!BV13</f>
        <v>0.75</v>
      </c>
    </row>
    <row r="12" spans="1:11" ht="48" customHeight="1" x14ac:dyDescent="0.2">
      <c r="A12" s="156" t="str">
        <f>'Subcategory Summary'!BT14</f>
        <v>PROTECT</v>
      </c>
      <c r="B12" s="153" t="str">
        <f>'Subcategory Summary'!BU14</f>
        <v>10. Environmental Security</v>
      </c>
      <c r="C12" s="150">
        <f>'Subcategory Summary'!G62</f>
        <v>4.5</v>
      </c>
      <c r="D12" s="150">
        <f>'Subcategory Summary'!H62</f>
        <v>5</v>
      </c>
      <c r="E12" s="150">
        <f>'Subcategory Summary'!I62</f>
        <v>3</v>
      </c>
      <c r="F12" s="150">
        <f>'Subcategory Summary'!J62</f>
        <v>-2</v>
      </c>
      <c r="G12" s="197" t="str">
        <f t="shared" si="0"/>
        <v>Advanced</v>
      </c>
      <c r="H12" s="155">
        <f>'Subcategory Summary'!BV14</f>
        <v>0.5</v>
      </c>
    </row>
    <row r="13" spans="1:11" ht="57" customHeight="1" x14ac:dyDescent="0.2">
      <c r="A13" s="156" t="str">
        <f>'Subcategory Summary'!BT15</f>
        <v>PROTECT</v>
      </c>
      <c r="B13" s="153" t="str">
        <f>'Subcategory Summary'!BU15</f>
        <v>11. Physical Building Security</v>
      </c>
      <c r="C13" s="150">
        <f>'Subcategory Summary'!G66</f>
        <v>5</v>
      </c>
      <c r="D13" s="150">
        <f>'Subcategory Summary'!H66</f>
        <v>5</v>
      </c>
      <c r="E13" s="150">
        <f>'Subcategory Summary'!I66</f>
        <v>3</v>
      </c>
      <c r="F13" s="150">
        <f>'Subcategory Summary'!J66</f>
        <v>-2</v>
      </c>
      <c r="G13" s="197" t="str">
        <f t="shared" si="0"/>
        <v>Advanced</v>
      </c>
      <c r="H13" s="155">
        <f>'Subcategory Summary'!BV15</f>
        <v>0</v>
      </c>
    </row>
    <row r="14" spans="1:11" ht="46.15" customHeight="1" x14ac:dyDescent="0.2">
      <c r="A14" s="156" t="str">
        <f>'Subcategory Summary'!BT16</f>
        <v>PROTECT</v>
      </c>
      <c r="B14" s="153" t="str">
        <f>'Subcategory Summary'!BU16</f>
        <v>12. System Management</v>
      </c>
      <c r="C14" s="150">
        <f>'Subcategory Summary'!G72</f>
        <v>3.75</v>
      </c>
      <c r="D14" s="150">
        <f>'Subcategory Summary'!H72</f>
        <v>3.75</v>
      </c>
      <c r="E14" s="150">
        <f>'Subcategory Summary'!I72</f>
        <v>3</v>
      </c>
      <c r="F14" s="150">
        <f>'Subcategory Summary'!J72</f>
        <v>-0.75</v>
      </c>
      <c r="G14" s="197" t="str">
        <f t="shared" si="0"/>
        <v>Target</v>
      </c>
      <c r="H14" s="155">
        <f>'Subcategory Summary'!BV16</f>
        <v>0</v>
      </c>
    </row>
    <row r="15" spans="1:11" ht="43.15" customHeight="1" x14ac:dyDescent="0.2">
      <c r="A15" s="156" t="str">
        <f>'Subcategory Summary'!BT17</f>
        <v>PROTECT</v>
      </c>
      <c r="B15" s="153" t="str">
        <f>'Subcategory Summary'!BU17</f>
        <v>13. Operational Security</v>
      </c>
      <c r="C15" s="150">
        <f>'Subcategory Summary'!G84</f>
        <v>3.4444444444444446</v>
      </c>
      <c r="D15" s="150">
        <f>'Subcategory Summary'!H84</f>
        <v>3.8888888888888888</v>
      </c>
      <c r="E15" s="150">
        <f>'Subcategory Summary'!I84</f>
        <v>3</v>
      </c>
      <c r="F15" s="150">
        <f>'Subcategory Summary'!J84</f>
        <v>-1</v>
      </c>
      <c r="G15" s="197" t="str">
        <f t="shared" si="0"/>
        <v>Target</v>
      </c>
      <c r="H15" s="155">
        <f>'Subcategory Summary'!BV17</f>
        <v>0.4444444444444442</v>
      </c>
    </row>
    <row r="16" spans="1:11" ht="46.15" customHeight="1" x14ac:dyDescent="0.2">
      <c r="A16" s="156" t="str">
        <f>'Subcategory Summary'!BT18</f>
        <v>PROTECT</v>
      </c>
      <c r="B16" s="153" t="str">
        <f>'Subcategory Summary'!BU18</f>
        <v>14. Network Security</v>
      </c>
      <c r="C16" s="150">
        <f>'Subcategory Summary'!G96</f>
        <v>2.8</v>
      </c>
      <c r="D16" s="150">
        <f>'Subcategory Summary'!H96</f>
        <v>3.6</v>
      </c>
      <c r="E16" s="150">
        <f>'Subcategory Summary'!I96</f>
        <v>3</v>
      </c>
      <c r="F16" s="150">
        <f>'Subcategory Summary'!J96</f>
        <v>-0.6</v>
      </c>
      <c r="G16" s="197" t="str">
        <f t="shared" si="0"/>
        <v>Target</v>
      </c>
      <c r="H16" s="155">
        <f>'Subcategory Summary'!BV18</f>
        <v>0.80000000000000027</v>
      </c>
    </row>
    <row r="17" spans="1:8" ht="42.6" customHeight="1" x14ac:dyDescent="0.2">
      <c r="A17" s="157" t="str">
        <f>'Subcategory Summary'!BT19</f>
        <v>DETECT</v>
      </c>
      <c r="B17" s="153" t="str">
        <f>'Subcategory Summary'!BU19</f>
        <v>15. Incident Detection</v>
      </c>
      <c r="C17" s="150">
        <f>'Subcategory Summary'!G100</f>
        <v>1</v>
      </c>
      <c r="D17" s="150">
        <f>'Subcategory Summary'!H100</f>
        <v>1</v>
      </c>
      <c r="E17" s="150">
        <f>'Subcategory Summary'!I100</f>
        <v>3</v>
      </c>
      <c r="F17" s="150">
        <f>'Subcategory Summary'!J100</f>
        <v>2</v>
      </c>
      <c r="G17" s="197" t="str">
        <f t="shared" si="0"/>
        <v>Baseline</v>
      </c>
      <c r="H17" s="155">
        <f>'Subcategory Summary'!BV19</f>
        <v>0</v>
      </c>
    </row>
    <row r="18" spans="1:8" ht="48" customHeight="1" x14ac:dyDescent="0.2">
      <c r="A18" s="158" t="str">
        <f>'Subcategory Summary'!BT20</f>
        <v>RESPOND &amp; RECOVER</v>
      </c>
      <c r="B18" s="153" t="str">
        <f>'Subcategory Summary'!BU20</f>
        <v>16. Incident Management</v>
      </c>
      <c r="C18" s="150">
        <f>'Subcategory Summary'!G106</f>
        <v>0.5</v>
      </c>
      <c r="D18" s="150">
        <f>'Subcategory Summary'!H106</f>
        <v>2.5</v>
      </c>
      <c r="E18" s="150">
        <f>'Subcategory Summary'!I106</f>
        <v>3</v>
      </c>
      <c r="F18" s="150">
        <f>'Subcategory Summary'!J106</f>
        <v>0.5</v>
      </c>
      <c r="G18" s="197" t="str">
        <f t="shared" si="0"/>
        <v>Partial Target</v>
      </c>
      <c r="H18" s="155">
        <f>'Subcategory Summary'!BV20</f>
        <v>2</v>
      </c>
    </row>
    <row r="19" spans="1:8" ht="44.45" customHeight="1" x14ac:dyDescent="0.2">
      <c r="A19" s="158" t="str">
        <f>'Subcategory Summary'!BT21</f>
        <v>RESPOND &amp; RECOVER</v>
      </c>
      <c r="B19" s="153" t="str">
        <f>'Subcategory Summary'!BU21</f>
        <v>17. Business Continuity</v>
      </c>
      <c r="C19" s="150">
        <f>'Subcategory Summary'!G114</f>
        <v>3.3333333333333335</v>
      </c>
      <c r="D19" s="150">
        <f>'Subcategory Summary'!H114</f>
        <v>4</v>
      </c>
      <c r="E19" s="150">
        <f>'Subcategory Summary'!I114</f>
        <v>3</v>
      </c>
      <c r="F19" s="150">
        <f>'Subcategory Summary'!J114</f>
        <v>-1</v>
      </c>
      <c r="G19" s="197" t="str">
        <f t="shared" si="0"/>
        <v>Partial Advanced</v>
      </c>
      <c r="H19" s="155">
        <f>'Subcategory Summary'!BV21</f>
        <v>0.66666666666666652</v>
      </c>
    </row>
    <row r="20" spans="1:8" ht="58.15" customHeight="1" thickBot="1" x14ac:dyDescent="0.25">
      <c r="A20" s="159" t="str">
        <f>'Subcategory Summary'!BT22</f>
        <v>All</v>
      </c>
      <c r="B20" s="160" t="str">
        <f>'Subcategory Summary'!BU22</f>
        <v>Overall Mean Security Maturity Improvement</v>
      </c>
      <c r="C20" s="161">
        <f>'Subcategory Summary'!G115</f>
        <v>2.7763157894736841</v>
      </c>
      <c r="D20" s="161">
        <f>'Subcategory Summary'!H115</f>
        <v>3.6315789473684212</v>
      </c>
      <c r="E20" s="161">
        <f>'Subcategory Summary'!I115</f>
        <v>3</v>
      </c>
      <c r="F20" s="161">
        <f>'Subcategory Summary'!J115</f>
        <v>-0.63157894736842124</v>
      </c>
      <c r="G20" s="201" t="str">
        <f t="shared" si="0"/>
        <v>Target</v>
      </c>
      <c r="H20" s="162">
        <f>'Subcategory Summary'!BV22</f>
        <v>0.85526315789473717</v>
      </c>
    </row>
  </sheetData>
  <mergeCells count="2">
    <mergeCell ref="A1:H1"/>
    <mergeCell ref="J1:K1"/>
  </mergeCells>
  <conditionalFormatting sqref="C2">
    <cfRule type="colorScale" priority="7">
      <colorScale>
        <cfvo type="min"/>
        <cfvo type="percentile" val="50"/>
        <cfvo type="max"/>
        <color rgb="FFF8696B"/>
        <color rgb="FFFFC000"/>
        <color rgb="FF63BE7B"/>
      </colorScale>
    </cfRule>
  </conditionalFormatting>
  <conditionalFormatting sqref="C3:E20">
    <cfRule type="colorScale" priority="6">
      <colorScale>
        <cfvo type="min"/>
        <cfvo type="percentile" val="50"/>
        <cfvo type="max"/>
        <color rgb="FFF8696B"/>
        <color rgb="FFFFEB84"/>
        <color rgb="FF63BE7B"/>
      </colorScale>
    </cfRule>
  </conditionalFormatting>
  <conditionalFormatting sqref="D2">
    <cfRule type="colorScale" priority="9">
      <colorScale>
        <cfvo type="min"/>
        <cfvo type="percentile" val="50"/>
        <cfvo type="max"/>
        <color rgb="FFF8696B"/>
        <color rgb="FFFFC000"/>
        <color rgb="FF63BE7B"/>
      </colorScale>
    </cfRule>
  </conditionalFormatting>
  <conditionalFormatting sqref="E2">
    <cfRule type="colorScale" priority="10">
      <colorScale>
        <cfvo type="min"/>
        <cfvo type="percentile" val="50"/>
        <cfvo type="max"/>
        <color rgb="FFF8696B"/>
        <color rgb="FFFFC000"/>
        <color rgb="FF63BE7B"/>
      </colorScale>
    </cfRule>
  </conditionalFormatting>
  <conditionalFormatting sqref="F2">
    <cfRule type="colorScale" priority="8">
      <colorScale>
        <cfvo type="min"/>
        <cfvo type="percentile" val="50"/>
        <cfvo type="max"/>
        <color rgb="FFF8696B"/>
        <color rgb="FFFFC000"/>
        <color rgb="FF63BE7B"/>
      </colorScale>
    </cfRule>
  </conditionalFormatting>
  <conditionalFormatting sqref="F3:F20">
    <cfRule type="colorScale" priority="5">
      <colorScale>
        <cfvo type="min"/>
        <cfvo type="percentile" val="50"/>
        <cfvo type="max"/>
        <color rgb="FF63BE7B"/>
        <color rgb="FFFFEB84"/>
        <color rgb="FFF8696B"/>
      </colorScale>
    </cfRule>
  </conditionalFormatting>
  <conditionalFormatting sqref="G2">
    <cfRule type="dataBar" priority="1">
      <dataBar>
        <cfvo type="min"/>
        <cfvo type="max"/>
        <color rgb="FF63C384"/>
      </dataBar>
      <extLst>
        <ext xmlns:x14="http://schemas.microsoft.com/office/spreadsheetml/2009/9/main" uri="{B025F937-C7B1-47D3-B67F-A62EFF666E3E}">
          <x14:id>{FB83CA12-D4A6-4089-B581-321FFD956E57}</x14:id>
        </ext>
      </extLst>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C000"/>
        <color rgb="FF63BE7B"/>
      </colorScale>
    </cfRule>
  </conditionalFormatting>
  <conditionalFormatting sqref="H3:H20">
    <cfRule type="colorScale" priority="4">
      <colorScale>
        <cfvo type="min"/>
        <cfvo type="max"/>
        <color rgb="FFFFEF9C"/>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B83CA12-D4A6-4089-B581-321FFD956E57}">
            <x14:dataBar minLength="0" maxLength="100" border="1" negativeBarBorderColorSameAsPositive="0">
              <x14:cfvo type="autoMin"/>
              <x14:cfvo type="autoMax"/>
              <x14:borderColor rgb="FF63C384"/>
              <x14:negativeFillColor rgb="FFFF0000"/>
              <x14:negativeBorderColor rgb="FFFF0000"/>
              <x14:axisColor rgb="FF000000"/>
            </x14:dataBar>
          </x14:cfRule>
          <xm:sqref>G2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767-77A4-48C7-9828-F89E140DCDCE}">
  <dimension ref="A1:U24"/>
  <sheetViews>
    <sheetView showGridLines="0" zoomScaleNormal="100" workbookViewId="0">
      <selection activeCell="S22" sqref="S22"/>
    </sheetView>
  </sheetViews>
  <sheetFormatPr defaultColWidth="8.75" defaultRowHeight="14.25" x14ac:dyDescent="0.2"/>
  <cols>
    <col min="1" max="1" width="24" style="129" customWidth="1"/>
    <col min="2" max="4" width="8.75" style="137"/>
    <col min="5" max="5" width="8.75" style="129"/>
    <col min="6" max="6" width="1.25" style="129" customWidth="1"/>
    <col min="7" max="7" width="8.75" style="129"/>
    <col min="8" max="20" width="8.75" style="130"/>
    <col min="21" max="21" width="6.5" style="130" customWidth="1"/>
    <col min="22" max="16384" width="8.75" style="130"/>
  </cols>
  <sheetData>
    <row r="1" spans="1:21" s="138" customFormat="1" ht="93.4" customHeight="1" thickBot="1" x14ac:dyDescent="0.25">
      <c r="A1" s="443" t="s">
        <v>626</v>
      </c>
      <c r="B1" s="444"/>
      <c r="C1" s="444"/>
      <c r="D1" s="444"/>
      <c r="E1" s="444"/>
      <c r="F1" s="444"/>
      <c r="G1" s="444"/>
      <c r="H1" s="444"/>
      <c r="I1" s="444"/>
      <c r="J1" s="444"/>
      <c r="K1" s="444"/>
      <c r="L1" s="444"/>
      <c r="M1" s="444"/>
      <c r="N1" s="444"/>
      <c r="O1" s="444"/>
      <c r="P1" s="444"/>
      <c r="Q1" s="444"/>
      <c r="R1" s="444"/>
      <c r="S1" s="444"/>
      <c r="T1" s="444"/>
      <c r="U1" s="445"/>
    </row>
    <row r="2" spans="1:21" s="133" customFormat="1" ht="45" x14ac:dyDescent="0.2">
      <c r="A2" s="131" t="s">
        <v>625</v>
      </c>
      <c r="B2" s="131" t="s">
        <v>11</v>
      </c>
      <c r="C2" s="131" t="s">
        <v>12</v>
      </c>
      <c r="D2" s="131" t="s">
        <v>13</v>
      </c>
      <c r="E2" s="132"/>
      <c r="F2" s="132"/>
      <c r="G2" s="132"/>
    </row>
    <row r="3" spans="1:21" s="133" customFormat="1" ht="30" x14ac:dyDescent="0.2">
      <c r="A3" s="134" t="s">
        <v>521</v>
      </c>
      <c r="B3" s="135">
        <f>'Subcategory Summary'!H11</f>
        <v>3.4</v>
      </c>
      <c r="C3" s="135">
        <f>'Subcategory Summary'!I11</f>
        <v>3</v>
      </c>
      <c r="D3" s="135">
        <f>'Subcategory Summary'!J11</f>
        <v>-0.4</v>
      </c>
      <c r="E3" s="132"/>
      <c r="F3" s="132"/>
      <c r="G3" s="132"/>
    </row>
    <row r="4" spans="1:21" s="133" customFormat="1" ht="15" x14ac:dyDescent="0.2">
      <c r="A4" s="134" t="s">
        <v>533</v>
      </c>
      <c r="B4" s="135">
        <f>'Subcategory Summary'!H17</f>
        <v>4.5</v>
      </c>
      <c r="C4" s="135">
        <f>'Subcategory Summary'!I17</f>
        <v>3</v>
      </c>
      <c r="D4" s="135">
        <f>'Subcategory Summary'!J17</f>
        <v>-1.5</v>
      </c>
      <c r="E4" s="132"/>
      <c r="F4" s="132"/>
      <c r="G4" s="132"/>
    </row>
    <row r="5" spans="1:21" s="133" customFormat="1" ht="15" x14ac:dyDescent="0.2">
      <c r="A5" s="134" t="s">
        <v>538</v>
      </c>
      <c r="B5" s="135">
        <f>'Subcategory Summary'!H23</f>
        <v>4.75</v>
      </c>
      <c r="C5" s="135">
        <f>'Subcategory Summary'!I23</f>
        <v>3</v>
      </c>
      <c r="D5" s="135">
        <f>'Subcategory Summary'!J23</f>
        <v>-1.75</v>
      </c>
      <c r="E5" s="132"/>
      <c r="F5" s="132"/>
      <c r="G5" s="132"/>
    </row>
    <row r="6" spans="1:21" s="133" customFormat="1" ht="15" x14ac:dyDescent="0.2">
      <c r="A6" s="134" t="s">
        <v>543</v>
      </c>
      <c r="B6" s="135">
        <f>'Subcategory Summary'!H28</f>
        <v>4.666666666666667</v>
      </c>
      <c r="C6" s="135">
        <f>'Subcategory Summary'!I28</f>
        <v>3</v>
      </c>
      <c r="D6" s="135">
        <f>'Subcategory Summary'!J28</f>
        <v>-1.6666666666666667</v>
      </c>
      <c r="E6" s="132"/>
      <c r="F6" s="132"/>
      <c r="G6" s="132"/>
    </row>
    <row r="7" spans="1:21" s="133" customFormat="1" ht="30" x14ac:dyDescent="0.2">
      <c r="A7" s="134" t="s">
        <v>547</v>
      </c>
      <c r="B7" s="135">
        <f>'Subcategory Summary'!H36</f>
        <v>2.3333333333333335</v>
      </c>
      <c r="C7" s="135">
        <f>'Subcategory Summary'!I36</f>
        <v>3</v>
      </c>
      <c r="D7" s="135">
        <f>'Subcategory Summary'!J36</f>
        <v>0.66666666666666663</v>
      </c>
      <c r="E7" s="132"/>
      <c r="F7" s="132"/>
      <c r="G7" s="132"/>
    </row>
    <row r="8" spans="1:21" s="133" customFormat="1" ht="15" x14ac:dyDescent="0.2">
      <c r="A8" s="134" t="s">
        <v>555</v>
      </c>
      <c r="B8" s="135">
        <f>'Subcategory Summary'!H43</f>
        <v>3.8</v>
      </c>
      <c r="C8" s="135">
        <f>'Subcategory Summary'!I43</f>
        <v>3</v>
      </c>
      <c r="D8" s="135">
        <f>'Subcategory Summary'!J43</f>
        <v>-0.8</v>
      </c>
      <c r="E8" s="132"/>
      <c r="F8" s="132"/>
      <c r="G8" s="132"/>
    </row>
    <row r="9" spans="1:21" s="133" customFormat="1" ht="15" x14ac:dyDescent="0.2">
      <c r="A9" s="134" t="s">
        <v>561</v>
      </c>
      <c r="B9" s="135">
        <f>'Subcategory Summary'!H46</f>
        <v>1</v>
      </c>
      <c r="C9" s="135">
        <f>'Subcategory Summary'!I46</f>
        <v>3</v>
      </c>
      <c r="D9" s="135">
        <f>'Subcategory Summary'!J46</f>
        <v>2</v>
      </c>
      <c r="E9" s="132"/>
      <c r="F9" s="132"/>
      <c r="G9" s="132"/>
    </row>
    <row r="10" spans="1:21" s="133" customFormat="1" ht="15" x14ac:dyDescent="0.2">
      <c r="A10" s="134" t="s">
        <v>563</v>
      </c>
      <c r="B10" s="135">
        <f>'Subcategory Summary'!H52</f>
        <v>3.25</v>
      </c>
      <c r="C10" s="135">
        <f>'Subcategory Summary'!I52</f>
        <v>3</v>
      </c>
      <c r="D10" s="135">
        <f>'Subcategory Summary'!J52</f>
        <v>-0.25</v>
      </c>
      <c r="E10" s="132"/>
      <c r="F10" s="132"/>
      <c r="G10" s="132"/>
    </row>
    <row r="11" spans="1:21" s="133" customFormat="1" ht="15" x14ac:dyDescent="0.2">
      <c r="A11" s="134" t="s">
        <v>568</v>
      </c>
      <c r="B11" s="135">
        <f>'Subcategory Summary'!H58</f>
        <v>3.5</v>
      </c>
      <c r="C11" s="135">
        <f>'Subcategory Summary'!I58</f>
        <v>3</v>
      </c>
      <c r="D11" s="135">
        <f>'Subcategory Summary'!J58</f>
        <v>-0.5</v>
      </c>
      <c r="E11" s="132"/>
      <c r="F11" s="132"/>
      <c r="G11" s="132"/>
    </row>
    <row r="12" spans="1:21" s="133" customFormat="1" ht="15" x14ac:dyDescent="0.2">
      <c r="A12" s="134" t="s">
        <v>573</v>
      </c>
      <c r="B12" s="135">
        <f>'Subcategory Summary'!H62</f>
        <v>5</v>
      </c>
      <c r="C12" s="135">
        <f>'Subcategory Summary'!I62</f>
        <v>3</v>
      </c>
      <c r="D12" s="135">
        <f>'Subcategory Summary'!J62</f>
        <v>-2</v>
      </c>
      <c r="E12" s="132"/>
      <c r="F12" s="132"/>
      <c r="G12" s="132"/>
    </row>
    <row r="13" spans="1:21" s="133" customFormat="1" ht="15" x14ac:dyDescent="0.2">
      <c r="A13" s="134" t="s">
        <v>576</v>
      </c>
      <c r="B13" s="135">
        <f>'Subcategory Summary'!H66</f>
        <v>5</v>
      </c>
      <c r="C13" s="135">
        <f>'Subcategory Summary'!I66</f>
        <v>3</v>
      </c>
      <c r="D13" s="135">
        <f>'Subcategory Summary'!J66</f>
        <v>-2</v>
      </c>
      <c r="E13" s="132"/>
      <c r="F13" s="132"/>
      <c r="G13" s="132"/>
    </row>
    <row r="14" spans="1:21" s="133" customFormat="1" ht="15" x14ac:dyDescent="0.2">
      <c r="A14" s="134" t="s">
        <v>579</v>
      </c>
      <c r="B14" s="135">
        <f>'Subcategory Summary'!H72</f>
        <v>3.75</v>
      </c>
      <c r="C14" s="135">
        <f>'Subcategory Summary'!I72</f>
        <v>3</v>
      </c>
      <c r="D14" s="135">
        <f>'Subcategory Summary'!J72</f>
        <v>-0.75</v>
      </c>
      <c r="E14" s="132"/>
      <c r="F14" s="132"/>
      <c r="G14" s="132"/>
    </row>
    <row r="15" spans="1:21" s="133" customFormat="1" ht="15" x14ac:dyDescent="0.2">
      <c r="A15" s="134" t="s">
        <v>584</v>
      </c>
      <c r="B15" s="135">
        <f>'Subcategory Summary'!H84</f>
        <v>3.8888888888888888</v>
      </c>
      <c r="C15" s="135">
        <f>'Subcategory Summary'!I84</f>
        <v>3</v>
      </c>
      <c r="D15" s="135">
        <f>'Subcategory Summary'!J84</f>
        <v>-1</v>
      </c>
      <c r="E15" s="132"/>
      <c r="F15" s="132"/>
      <c r="G15" s="132"/>
    </row>
    <row r="16" spans="1:21" s="133" customFormat="1" ht="15" x14ac:dyDescent="0.2">
      <c r="A16" s="134" t="s">
        <v>595</v>
      </c>
      <c r="B16" s="135">
        <f>'Subcategory Summary'!H96</f>
        <v>3.6</v>
      </c>
      <c r="C16" s="136">
        <f>'Subcategory Summary'!I96</f>
        <v>3</v>
      </c>
      <c r="D16" s="135">
        <f>'Subcategory Summary'!J96</f>
        <v>-0.6</v>
      </c>
      <c r="E16" s="132"/>
      <c r="F16" s="132"/>
      <c r="G16" s="132"/>
    </row>
    <row r="17" spans="1:7" s="133" customFormat="1" ht="15" x14ac:dyDescent="0.2">
      <c r="A17" s="134" t="s">
        <v>606</v>
      </c>
      <c r="B17" s="135">
        <f>'Subcategory Summary'!H100</f>
        <v>1</v>
      </c>
      <c r="C17" s="135">
        <f>'Subcategory Summary'!I100</f>
        <v>3</v>
      </c>
      <c r="D17" s="135">
        <f>'Subcategory Summary'!J100</f>
        <v>2</v>
      </c>
      <c r="E17" s="132"/>
      <c r="F17" s="132"/>
      <c r="G17" s="132"/>
    </row>
    <row r="18" spans="1:7" s="133" customFormat="1" ht="15" x14ac:dyDescent="0.2">
      <c r="A18" s="134" t="s">
        <v>610</v>
      </c>
      <c r="B18" s="135">
        <f>'Subcategory Summary'!H106</f>
        <v>2.5</v>
      </c>
      <c r="C18" s="135">
        <f>'Subcategory Summary'!I106</f>
        <v>3</v>
      </c>
      <c r="D18" s="135">
        <f>'Subcategory Summary'!J106</f>
        <v>0.5</v>
      </c>
      <c r="E18" s="132"/>
      <c r="F18" s="132"/>
      <c r="G18" s="132"/>
    </row>
    <row r="19" spans="1:7" s="133" customFormat="1" ht="15" x14ac:dyDescent="0.2">
      <c r="A19" s="134" t="s">
        <v>616</v>
      </c>
      <c r="B19" s="135">
        <f>'Subcategory Summary'!H114</f>
        <v>4</v>
      </c>
      <c r="C19" s="135">
        <f>'Subcategory Summary'!I114</f>
        <v>3</v>
      </c>
      <c r="D19" s="135">
        <f>'Subcategory Summary'!J114</f>
        <v>-1</v>
      </c>
      <c r="E19" s="132"/>
      <c r="F19" s="132"/>
      <c r="G19" s="132"/>
    </row>
    <row r="20" spans="1:7" s="133" customFormat="1" ht="15" x14ac:dyDescent="0.2">
      <c r="A20" s="134" t="s">
        <v>624</v>
      </c>
      <c r="B20" s="135">
        <f>'Subcategory Summary'!H115</f>
        <v>3.6315789473684212</v>
      </c>
      <c r="C20" s="135">
        <f>'Subcategory Summary'!I115</f>
        <v>3</v>
      </c>
      <c r="D20" s="135">
        <f>'Subcategory Summary'!J115</f>
        <v>-0.63157894736842124</v>
      </c>
      <c r="E20" s="132"/>
      <c r="F20" s="132"/>
      <c r="G20" s="132"/>
    </row>
    <row r="21" spans="1:7" s="133" customFormat="1" x14ac:dyDescent="0.2">
      <c r="A21" s="132"/>
      <c r="B21" s="135"/>
      <c r="C21" s="135"/>
      <c r="D21" s="135"/>
      <c r="E21" s="132"/>
      <c r="F21" s="132"/>
      <c r="G21" s="132"/>
    </row>
    <row r="22" spans="1:7" s="133" customFormat="1" x14ac:dyDescent="0.2">
      <c r="A22" s="132"/>
      <c r="B22" s="135"/>
      <c r="C22" s="135"/>
      <c r="D22" s="135"/>
      <c r="E22" s="132"/>
      <c r="F22" s="132"/>
      <c r="G22" s="132"/>
    </row>
    <row r="23" spans="1:7" s="133" customFormat="1" x14ac:dyDescent="0.2">
      <c r="A23" s="132"/>
      <c r="B23" s="135"/>
      <c r="C23" s="135"/>
      <c r="D23" s="135"/>
      <c r="E23" s="132"/>
      <c r="F23" s="132"/>
      <c r="G23" s="132"/>
    </row>
    <row r="24" spans="1:7" s="133" customFormat="1" x14ac:dyDescent="0.2">
      <c r="A24" s="132"/>
      <c r="B24" s="135"/>
      <c r="C24" s="135"/>
      <c r="D24" s="135"/>
      <c r="E24" s="132"/>
      <c r="F24" s="132"/>
      <c r="G24" s="132"/>
    </row>
  </sheetData>
  <mergeCells count="1">
    <mergeCell ref="A1:U1"/>
  </mergeCells>
  <conditionalFormatting sqref="B2">
    <cfRule type="colorScale" priority="2">
      <colorScale>
        <cfvo type="min"/>
        <cfvo type="percentile" val="50"/>
        <cfvo type="max"/>
        <color rgb="FFF8696B"/>
        <color rgb="FFFFC000"/>
        <color rgb="FF63BE7B"/>
      </colorScale>
    </cfRule>
  </conditionalFormatting>
  <conditionalFormatting sqref="C2">
    <cfRule type="colorScale" priority="3">
      <colorScale>
        <cfvo type="min"/>
        <cfvo type="percentile" val="50"/>
        <cfvo type="max"/>
        <color rgb="FFF8696B"/>
        <color rgb="FFFFC000"/>
        <color rgb="FF63BE7B"/>
      </colorScale>
    </cfRule>
  </conditionalFormatting>
  <conditionalFormatting sqref="D2">
    <cfRule type="colorScale" priority="1">
      <colorScale>
        <cfvo type="min"/>
        <cfvo type="percentile" val="50"/>
        <cfvo type="max"/>
        <color rgb="FFF8696B"/>
        <color rgb="FFFFC000"/>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EEAF-C6FC-4CE4-9AD4-3753D0C95772}">
  <dimension ref="A1:K81"/>
  <sheetViews>
    <sheetView workbookViewId="0">
      <selection activeCell="H5" sqref="H5"/>
    </sheetView>
  </sheetViews>
  <sheetFormatPr defaultRowHeight="14.25" x14ac:dyDescent="0.2"/>
  <cols>
    <col min="1" max="1" width="15.75" bestFit="1" customWidth="1"/>
    <col min="2" max="2" width="18.75" bestFit="1" customWidth="1"/>
    <col min="3" max="3" width="8.75" bestFit="1" customWidth="1"/>
    <col min="4" max="4" width="7.125" bestFit="1" customWidth="1"/>
    <col min="5" max="5" width="12.25" bestFit="1" customWidth="1"/>
    <col min="6" max="6" width="7.125" bestFit="1" customWidth="1"/>
    <col min="7" max="7" width="15.75" bestFit="1" customWidth="1"/>
    <col min="8" max="8" width="18.75" bestFit="1" customWidth="1"/>
    <col min="9" max="9" width="8.75" bestFit="1" customWidth="1"/>
    <col min="10" max="10" width="7.125" bestFit="1" customWidth="1"/>
    <col min="11" max="11" width="12.25" bestFit="1" customWidth="1"/>
    <col min="12" max="12" width="7.125" bestFit="1" customWidth="1"/>
    <col min="13" max="13" width="12.25" bestFit="1" customWidth="1"/>
  </cols>
  <sheetData>
    <row r="1" spans="1:11" x14ac:dyDescent="0.2">
      <c r="A1" s="236" t="s">
        <v>727</v>
      </c>
      <c r="B1" t="s">
        <v>1289</v>
      </c>
      <c r="G1" s="236" t="s">
        <v>727</v>
      </c>
      <c r="H1" t="s">
        <v>1604</v>
      </c>
    </row>
    <row r="3" spans="1:11" x14ac:dyDescent="0.2">
      <c r="A3" s="236" t="s">
        <v>1550</v>
      </c>
      <c r="B3" s="236" t="s">
        <v>1549</v>
      </c>
      <c r="G3" s="236" t="s">
        <v>1550</v>
      </c>
      <c r="H3" s="236" t="s">
        <v>1549</v>
      </c>
    </row>
    <row r="4" spans="1:11" x14ac:dyDescent="0.2">
      <c r="A4" s="236" t="s">
        <v>1547</v>
      </c>
      <c r="B4" t="s">
        <v>718</v>
      </c>
      <c r="C4" t="s">
        <v>722</v>
      </c>
      <c r="D4" t="s">
        <v>720</v>
      </c>
      <c r="E4" t="s">
        <v>1548</v>
      </c>
      <c r="G4" s="236" t="s">
        <v>1547</v>
      </c>
      <c r="H4" t="s">
        <v>718</v>
      </c>
      <c r="I4" t="s">
        <v>722</v>
      </c>
      <c r="J4" t="s">
        <v>720</v>
      </c>
      <c r="K4" t="s">
        <v>1548</v>
      </c>
    </row>
    <row r="5" spans="1:11" x14ac:dyDescent="0.2">
      <c r="A5" s="237">
        <v>1.1000000000000001</v>
      </c>
      <c r="B5" s="238">
        <v>1</v>
      </c>
      <c r="C5" s="238">
        <v>1</v>
      </c>
      <c r="D5" s="238">
        <v>4</v>
      </c>
      <c r="E5" s="238">
        <v>6</v>
      </c>
      <c r="G5" s="237">
        <v>1.1000000000000001</v>
      </c>
      <c r="H5" s="238">
        <v>2</v>
      </c>
      <c r="I5" s="238">
        <v>1</v>
      </c>
      <c r="J5" s="238">
        <v>5</v>
      </c>
      <c r="K5" s="238">
        <v>8</v>
      </c>
    </row>
    <row r="6" spans="1:11" x14ac:dyDescent="0.2">
      <c r="A6" s="237">
        <v>1.2</v>
      </c>
      <c r="B6" s="238">
        <v>5</v>
      </c>
      <c r="C6" s="238">
        <v>4</v>
      </c>
      <c r="D6" s="238">
        <v>2</v>
      </c>
      <c r="E6" s="238">
        <v>11</v>
      </c>
      <c r="G6" s="237">
        <v>1.2</v>
      </c>
      <c r="H6" s="238">
        <v>5</v>
      </c>
      <c r="I6" s="238">
        <v>4</v>
      </c>
      <c r="J6" s="238">
        <v>2</v>
      </c>
      <c r="K6" s="238">
        <v>11</v>
      </c>
    </row>
    <row r="7" spans="1:11" x14ac:dyDescent="0.2">
      <c r="A7" s="237">
        <v>1.3</v>
      </c>
      <c r="B7" s="238">
        <v>3</v>
      </c>
      <c r="C7" s="238">
        <v>1</v>
      </c>
      <c r="D7" s="238">
        <v>1</v>
      </c>
      <c r="E7" s="238">
        <v>5</v>
      </c>
      <c r="G7" s="237">
        <v>1.3</v>
      </c>
      <c r="H7" s="238">
        <v>3</v>
      </c>
      <c r="I7" s="238">
        <v>1</v>
      </c>
      <c r="J7" s="238">
        <v>1</v>
      </c>
      <c r="K7" s="238">
        <v>5</v>
      </c>
    </row>
    <row r="8" spans="1:11" x14ac:dyDescent="0.2">
      <c r="A8" s="237">
        <v>1.4</v>
      </c>
      <c r="B8" s="238"/>
      <c r="C8" s="238"/>
      <c r="D8" s="238"/>
      <c r="E8" s="238"/>
      <c r="G8" s="237">
        <v>1.4</v>
      </c>
      <c r="H8" s="238">
        <v>3</v>
      </c>
      <c r="I8" s="238">
        <v>2</v>
      </c>
      <c r="J8" s="238">
        <v>1</v>
      </c>
      <c r="K8" s="238">
        <v>6</v>
      </c>
    </row>
    <row r="9" spans="1:11" x14ac:dyDescent="0.2">
      <c r="A9" s="237">
        <v>1.5</v>
      </c>
      <c r="B9" s="238">
        <v>3</v>
      </c>
      <c r="C9" s="238">
        <v>1</v>
      </c>
      <c r="D9" s="238">
        <v>1</v>
      </c>
      <c r="E9" s="238">
        <v>5</v>
      </c>
      <c r="G9" s="237">
        <v>1.5</v>
      </c>
      <c r="H9" s="238">
        <v>3</v>
      </c>
      <c r="I9" s="238">
        <v>1</v>
      </c>
      <c r="J9" s="238">
        <v>1</v>
      </c>
      <c r="K9" s="238">
        <v>5</v>
      </c>
    </row>
    <row r="10" spans="1:11" x14ac:dyDescent="0.2">
      <c r="A10" s="237">
        <v>2.1</v>
      </c>
      <c r="B10" s="238">
        <v>5</v>
      </c>
      <c r="C10" s="238">
        <v>1</v>
      </c>
      <c r="D10" s="238">
        <v>2</v>
      </c>
      <c r="E10" s="238">
        <v>8</v>
      </c>
      <c r="G10" s="237">
        <v>2.1</v>
      </c>
      <c r="H10" s="238">
        <v>5</v>
      </c>
      <c r="I10" s="238">
        <v>1</v>
      </c>
      <c r="J10" s="238">
        <v>2</v>
      </c>
      <c r="K10" s="238">
        <v>8</v>
      </c>
    </row>
    <row r="11" spans="1:11" x14ac:dyDescent="0.2">
      <c r="A11" s="237">
        <v>2.2000000000000002</v>
      </c>
      <c r="B11" s="238">
        <v>3</v>
      </c>
      <c r="C11" s="238">
        <v>1</v>
      </c>
      <c r="D11" s="238">
        <v>3</v>
      </c>
      <c r="E11" s="238">
        <v>7</v>
      </c>
      <c r="G11" s="237">
        <v>2.2000000000000002</v>
      </c>
      <c r="H11" s="238">
        <v>3</v>
      </c>
      <c r="I11" s="238">
        <v>1</v>
      </c>
      <c r="J11" s="238">
        <v>3</v>
      </c>
      <c r="K11" s="238">
        <v>7</v>
      </c>
    </row>
    <row r="12" spans="1:11" x14ac:dyDescent="0.2">
      <c r="A12" s="237">
        <v>2.2999999999999998</v>
      </c>
      <c r="B12" s="238">
        <v>3</v>
      </c>
      <c r="C12" s="238">
        <v>1</v>
      </c>
      <c r="D12" s="238">
        <v>2</v>
      </c>
      <c r="E12" s="238">
        <v>6</v>
      </c>
      <c r="G12" s="237">
        <v>2.2999999999999998</v>
      </c>
      <c r="H12" s="238">
        <v>4</v>
      </c>
      <c r="I12" s="238">
        <v>1</v>
      </c>
      <c r="J12" s="238">
        <v>2</v>
      </c>
      <c r="K12" s="238">
        <v>7</v>
      </c>
    </row>
    <row r="13" spans="1:11" x14ac:dyDescent="0.2">
      <c r="A13" s="237">
        <v>2.4</v>
      </c>
      <c r="B13" s="238">
        <v>1</v>
      </c>
      <c r="C13" s="238">
        <v>3</v>
      </c>
      <c r="D13" s="238">
        <v>4</v>
      </c>
      <c r="E13" s="238">
        <v>8</v>
      </c>
      <c r="G13" s="237">
        <v>2.4</v>
      </c>
      <c r="H13" s="238">
        <v>2</v>
      </c>
      <c r="I13" s="238">
        <v>3</v>
      </c>
      <c r="J13" s="238">
        <v>4</v>
      </c>
      <c r="K13" s="238">
        <v>9</v>
      </c>
    </row>
    <row r="14" spans="1:11" x14ac:dyDescent="0.2">
      <c r="A14" s="237">
        <v>3.1</v>
      </c>
      <c r="B14" s="238"/>
      <c r="C14" s="238"/>
      <c r="D14" s="238">
        <v>5</v>
      </c>
      <c r="E14" s="238">
        <v>5</v>
      </c>
      <c r="G14" s="237">
        <v>3.1</v>
      </c>
      <c r="H14" s="238"/>
      <c r="I14" s="238"/>
      <c r="J14" s="238">
        <v>5</v>
      </c>
      <c r="K14" s="238">
        <v>5</v>
      </c>
    </row>
    <row r="15" spans="1:11" x14ac:dyDescent="0.2">
      <c r="A15" s="237">
        <v>3.2</v>
      </c>
      <c r="B15" s="238">
        <v>1</v>
      </c>
      <c r="C15" s="238"/>
      <c r="D15" s="238">
        <v>2</v>
      </c>
      <c r="E15" s="238">
        <v>3</v>
      </c>
      <c r="G15" s="237">
        <v>3.2</v>
      </c>
      <c r="H15" s="238">
        <v>1</v>
      </c>
      <c r="I15" s="238"/>
      <c r="J15" s="238">
        <v>2</v>
      </c>
      <c r="K15" s="238">
        <v>3</v>
      </c>
    </row>
    <row r="16" spans="1:11" x14ac:dyDescent="0.2">
      <c r="A16" s="237">
        <v>3.3</v>
      </c>
      <c r="B16" s="238">
        <v>5</v>
      </c>
      <c r="C16" s="238"/>
      <c r="D16" s="238"/>
      <c r="E16" s="238">
        <v>5</v>
      </c>
      <c r="G16" s="237">
        <v>3.3</v>
      </c>
      <c r="H16" s="238">
        <v>6</v>
      </c>
      <c r="I16" s="238"/>
      <c r="J16" s="238"/>
      <c r="K16" s="238">
        <v>6</v>
      </c>
    </row>
    <row r="17" spans="1:11" x14ac:dyDescent="0.2">
      <c r="A17" s="237">
        <v>3.4</v>
      </c>
      <c r="B17" s="238">
        <v>3</v>
      </c>
      <c r="C17" s="238"/>
      <c r="D17" s="238">
        <v>1</v>
      </c>
      <c r="E17" s="238">
        <v>4</v>
      </c>
      <c r="G17" s="237">
        <v>3.4</v>
      </c>
      <c r="H17" s="238">
        <v>3</v>
      </c>
      <c r="I17" s="238"/>
      <c r="J17" s="238">
        <v>1</v>
      </c>
      <c r="K17" s="238">
        <v>4</v>
      </c>
    </row>
    <row r="18" spans="1:11" x14ac:dyDescent="0.2">
      <c r="A18" s="237">
        <v>4.0999999999999996</v>
      </c>
      <c r="B18" s="238">
        <v>5</v>
      </c>
      <c r="C18" s="238"/>
      <c r="D18" s="238">
        <v>2</v>
      </c>
      <c r="E18" s="238">
        <v>7</v>
      </c>
      <c r="G18" s="237">
        <v>4.0999999999999996</v>
      </c>
      <c r="H18" s="238">
        <v>7</v>
      </c>
      <c r="I18" s="238"/>
      <c r="J18" s="238">
        <v>2</v>
      </c>
      <c r="K18" s="238">
        <v>9</v>
      </c>
    </row>
    <row r="19" spans="1:11" x14ac:dyDescent="0.2">
      <c r="A19" s="237">
        <v>4.2</v>
      </c>
      <c r="B19" s="238">
        <v>1</v>
      </c>
      <c r="C19" s="238">
        <v>2</v>
      </c>
      <c r="D19" s="238">
        <v>2</v>
      </c>
      <c r="E19" s="238">
        <v>5</v>
      </c>
      <c r="G19" s="237">
        <v>4.2</v>
      </c>
      <c r="H19" s="238">
        <v>1</v>
      </c>
      <c r="I19" s="238">
        <v>2</v>
      </c>
      <c r="J19" s="238">
        <v>2</v>
      </c>
      <c r="K19" s="238">
        <v>5</v>
      </c>
    </row>
    <row r="20" spans="1:11" x14ac:dyDescent="0.2">
      <c r="A20" s="237">
        <v>4.3</v>
      </c>
      <c r="B20" s="238">
        <v>4</v>
      </c>
      <c r="C20" s="238"/>
      <c r="D20" s="238">
        <v>1</v>
      </c>
      <c r="E20" s="238">
        <v>5</v>
      </c>
      <c r="G20" s="237">
        <v>4.3</v>
      </c>
      <c r="H20" s="238">
        <v>4</v>
      </c>
      <c r="I20" s="238"/>
      <c r="J20" s="238">
        <v>1</v>
      </c>
      <c r="K20" s="238">
        <v>5</v>
      </c>
    </row>
    <row r="21" spans="1:11" x14ac:dyDescent="0.2">
      <c r="A21" s="237">
        <v>5.0999999999999996</v>
      </c>
      <c r="B21" s="238">
        <v>3</v>
      </c>
      <c r="C21" s="238"/>
      <c r="D21" s="238">
        <v>6</v>
      </c>
      <c r="E21" s="238">
        <v>9</v>
      </c>
      <c r="G21" s="237">
        <v>5.0999999999999996</v>
      </c>
      <c r="H21" s="238">
        <v>3</v>
      </c>
      <c r="I21" s="238"/>
      <c r="J21" s="238">
        <v>7</v>
      </c>
      <c r="K21" s="238">
        <v>10</v>
      </c>
    </row>
    <row r="22" spans="1:11" x14ac:dyDescent="0.2">
      <c r="A22" s="237">
        <v>5.2</v>
      </c>
      <c r="B22" s="238">
        <v>1</v>
      </c>
      <c r="C22" s="238"/>
      <c r="D22" s="238">
        <v>6</v>
      </c>
      <c r="E22" s="238">
        <v>7</v>
      </c>
      <c r="G22" s="237">
        <v>5.2</v>
      </c>
      <c r="H22" s="238">
        <v>1</v>
      </c>
      <c r="I22" s="238"/>
      <c r="J22" s="238">
        <v>7</v>
      </c>
      <c r="K22" s="238">
        <v>8</v>
      </c>
    </row>
    <row r="23" spans="1:11" x14ac:dyDescent="0.2">
      <c r="A23" s="237">
        <v>5.3</v>
      </c>
      <c r="B23" s="238">
        <v>2</v>
      </c>
      <c r="C23" s="238"/>
      <c r="D23" s="238">
        <v>1</v>
      </c>
      <c r="E23" s="238">
        <v>3</v>
      </c>
      <c r="G23" s="237">
        <v>5.3</v>
      </c>
      <c r="H23" s="238">
        <v>4</v>
      </c>
      <c r="I23" s="238"/>
      <c r="J23" s="238">
        <v>1</v>
      </c>
      <c r="K23" s="238">
        <v>5</v>
      </c>
    </row>
    <row r="24" spans="1:11" x14ac:dyDescent="0.2">
      <c r="A24" s="237">
        <v>5.4</v>
      </c>
      <c r="B24" s="238"/>
      <c r="C24" s="238"/>
      <c r="D24" s="238"/>
      <c r="E24" s="238"/>
      <c r="G24" s="237">
        <v>5.4</v>
      </c>
      <c r="H24" s="238">
        <v>3</v>
      </c>
      <c r="I24" s="238"/>
      <c r="J24" s="238">
        <v>1</v>
      </c>
      <c r="K24" s="238">
        <v>4</v>
      </c>
    </row>
    <row r="25" spans="1:11" x14ac:dyDescent="0.2">
      <c r="A25" s="237">
        <v>5.5</v>
      </c>
      <c r="B25" s="238">
        <v>1</v>
      </c>
      <c r="C25" s="238"/>
      <c r="D25" s="238">
        <v>1</v>
      </c>
      <c r="E25" s="238">
        <v>2</v>
      </c>
      <c r="G25" s="237">
        <v>5.5</v>
      </c>
      <c r="H25" s="238">
        <v>2</v>
      </c>
      <c r="I25" s="238"/>
      <c r="J25" s="238">
        <v>3</v>
      </c>
      <c r="K25" s="238">
        <v>5</v>
      </c>
    </row>
    <row r="26" spans="1:11" x14ac:dyDescent="0.2">
      <c r="A26" s="237">
        <v>5.6</v>
      </c>
      <c r="B26" s="238">
        <v>2</v>
      </c>
      <c r="C26" s="238"/>
      <c r="D26" s="238">
        <v>5</v>
      </c>
      <c r="E26" s="238">
        <v>7</v>
      </c>
      <c r="G26" s="237">
        <v>5.6</v>
      </c>
      <c r="H26" s="238">
        <v>4</v>
      </c>
      <c r="I26" s="238"/>
      <c r="J26" s="238">
        <v>5</v>
      </c>
      <c r="K26" s="238">
        <v>9</v>
      </c>
    </row>
    <row r="27" spans="1:11" x14ac:dyDescent="0.2">
      <c r="A27" s="237">
        <v>6.1</v>
      </c>
      <c r="B27" s="238">
        <v>2</v>
      </c>
      <c r="C27" s="238"/>
      <c r="D27" s="238"/>
      <c r="E27" s="238">
        <v>2</v>
      </c>
      <c r="G27" s="237">
        <v>6.1</v>
      </c>
      <c r="H27" s="238">
        <v>2</v>
      </c>
      <c r="I27" s="238"/>
      <c r="J27" s="238"/>
      <c r="K27" s="238">
        <v>2</v>
      </c>
    </row>
    <row r="28" spans="1:11" x14ac:dyDescent="0.2">
      <c r="A28" s="237">
        <v>6.2</v>
      </c>
      <c r="B28" s="238">
        <v>6</v>
      </c>
      <c r="C28" s="238"/>
      <c r="D28" s="238">
        <v>5</v>
      </c>
      <c r="E28" s="238">
        <v>11</v>
      </c>
      <c r="G28" s="237">
        <v>6.2</v>
      </c>
      <c r="H28" s="238">
        <v>6</v>
      </c>
      <c r="I28" s="238"/>
      <c r="J28" s="238">
        <v>5</v>
      </c>
      <c r="K28" s="238">
        <v>11</v>
      </c>
    </row>
    <row r="29" spans="1:11" x14ac:dyDescent="0.2">
      <c r="A29" s="237">
        <v>6.3</v>
      </c>
      <c r="B29" s="238">
        <v>1</v>
      </c>
      <c r="C29" s="238">
        <v>1</v>
      </c>
      <c r="D29" s="238">
        <v>3</v>
      </c>
      <c r="E29" s="238">
        <v>5</v>
      </c>
      <c r="G29" s="237">
        <v>6.3</v>
      </c>
      <c r="H29" s="238">
        <v>2</v>
      </c>
      <c r="I29" s="238">
        <v>1</v>
      </c>
      <c r="J29" s="238">
        <v>5</v>
      </c>
      <c r="K29" s="238">
        <v>8</v>
      </c>
    </row>
    <row r="30" spans="1:11" x14ac:dyDescent="0.2">
      <c r="A30" s="237">
        <v>6.4</v>
      </c>
      <c r="B30" s="238">
        <v>1</v>
      </c>
      <c r="C30" s="238"/>
      <c r="D30" s="238">
        <v>1</v>
      </c>
      <c r="E30" s="238">
        <v>2</v>
      </c>
      <c r="G30" s="237">
        <v>6.4</v>
      </c>
      <c r="H30" s="238">
        <v>1</v>
      </c>
      <c r="I30" s="238"/>
      <c r="J30" s="238">
        <v>2</v>
      </c>
      <c r="K30" s="238">
        <v>3</v>
      </c>
    </row>
    <row r="31" spans="1:11" x14ac:dyDescent="0.2">
      <c r="A31" s="237">
        <v>6.5</v>
      </c>
      <c r="B31" s="238">
        <v>4</v>
      </c>
      <c r="C31" s="238"/>
      <c r="D31" s="238">
        <v>1</v>
      </c>
      <c r="E31" s="238">
        <v>5</v>
      </c>
      <c r="G31" s="237">
        <v>6.5</v>
      </c>
      <c r="H31" s="238">
        <v>4</v>
      </c>
      <c r="I31" s="238"/>
      <c r="J31" s="238">
        <v>1</v>
      </c>
      <c r="K31" s="238">
        <v>5</v>
      </c>
    </row>
    <row r="32" spans="1:11" x14ac:dyDescent="0.2">
      <c r="A32" s="237">
        <v>7.1</v>
      </c>
      <c r="B32" s="238">
        <v>4</v>
      </c>
      <c r="C32" s="238"/>
      <c r="D32" s="238"/>
      <c r="E32" s="238">
        <v>4</v>
      </c>
      <c r="G32" s="237">
        <v>7.1</v>
      </c>
      <c r="H32" s="238">
        <v>5</v>
      </c>
      <c r="I32" s="238"/>
      <c r="J32" s="238">
        <v>1</v>
      </c>
      <c r="K32" s="238">
        <v>6</v>
      </c>
    </row>
    <row r="33" spans="1:11" x14ac:dyDescent="0.2">
      <c r="A33" s="237">
        <v>8.1</v>
      </c>
      <c r="B33" s="238"/>
      <c r="C33" s="238">
        <v>7</v>
      </c>
      <c r="D33" s="238"/>
      <c r="E33" s="238">
        <v>7</v>
      </c>
      <c r="G33" s="237">
        <v>8.1</v>
      </c>
      <c r="H33" s="238"/>
      <c r="I33" s="238">
        <v>7</v>
      </c>
      <c r="J33" s="238"/>
      <c r="K33" s="238">
        <v>7</v>
      </c>
    </row>
    <row r="34" spans="1:11" x14ac:dyDescent="0.2">
      <c r="A34" s="237">
        <v>8.1999999999999993</v>
      </c>
      <c r="B34" s="238"/>
      <c r="C34" s="238">
        <v>2</v>
      </c>
      <c r="D34" s="238">
        <v>2</v>
      </c>
      <c r="E34" s="238">
        <v>4</v>
      </c>
      <c r="G34" s="237">
        <v>8.1999999999999993</v>
      </c>
      <c r="H34" s="238">
        <v>3</v>
      </c>
      <c r="I34" s="238">
        <v>2</v>
      </c>
      <c r="J34" s="238">
        <v>4</v>
      </c>
      <c r="K34" s="238">
        <v>9</v>
      </c>
    </row>
    <row r="35" spans="1:11" x14ac:dyDescent="0.2">
      <c r="A35" s="237">
        <v>8.3000000000000007</v>
      </c>
      <c r="B35" s="238">
        <v>4</v>
      </c>
      <c r="C35" s="238">
        <v>3</v>
      </c>
      <c r="D35" s="238">
        <v>1</v>
      </c>
      <c r="E35" s="238">
        <v>8</v>
      </c>
      <c r="G35" s="237">
        <v>8.3000000000000007</v>
      </c>
      <c r="H35" s="238">
        <v>6</v>
      </c>
      <c r="I35" s="238">
        <v>3</v>
      </c>
      <c r="J35" s="238">
        <v>3</v>
      </c>
      <c r="K35" s="238">
        <v>12</v>
      </c>
    </row>
    <row r="36" spans="1:11" x14ac:dyDescent="0.2">
      <c r="A36" s="237">
        <v>8.4</v>
      </c>
      <c r="B36" s="238">
        <v>1</v>
      </c>
      <c r="C36" s="238">
        <v>2</v>
      </c>
      <c r="D36" s="238">
        <v>2</v>
      </c>
      <c r="E36" s="238">
        <v>5</v>
      </c>
      <c r="G36" s="237">
        <v>8.4</v>
      </c>
      <c r="H36" s="238">
        <v>1</v>
      </c>
      <c r="I36" s="238">
        <v>2</v>
      </c>
      <c r="J36" s="238">
        <v>2</v>
      </c>
      <c r="K36" s="238">
        <v>5</v>
      </c>
    </row>
    <row r="37" spans="1:11" x14ac:dyDescent="0.2">
      <c r="A37" s="237">
        <v>9.1</v>
      </c>
      <c r="B37" s="238">
        <v>2</v>
      </c>
      <c r="C37" s="238"/>
      <c r="D37" s="238">
        <v>3</v>
      </c>
      <c r="E37" s="238">
        <v>5</v>
      </c>
      <c r="G37" s="237">
        <v>9.1</v>
      </c>
      <c r="H37" s="238">
        <v>2</v>
      </c>
      <c r="I37" s="238"/>
      <c r="J37" s="238">
        <v>3</v>
      </c>
      <c r="K37" s="238">
        <v>5</v>
      </c>
    </row>
    <row r="38" spans="1:11" x14ac:dyDescent="0.2">
      <c r="A38" s="237">
        <v>9.1999999999999993</v>
      </c>
      <c r="B38" s="238">
        <v>3</v>
      </c>
      <c r="C38" s="238"/>
      <c r="D38" s="238">
        <v>9</v>
      </c>
      <c r="E38" s="238">
        <v>12</v>
      </c>
      <c r="G38" s="237">
        <v>9.1999999999999993</v>
      </c>
      <c r="H38" s="238">
        <v>4</v>
      </c>
      <c r="I38" s="238"/>
      <c r="J38" s="238">
        <v>10</v>
      </c>
      <c r="K38" s="238">
        <v>14</v>
      </c>
    </row>
    <row r="39" spans="1:11" x14ac:dyDescent="0.2">
      <c r="A39" s="237">
        <v>9.3000000000000007</v>
      </c>
      <c r="B39" s="238"/>
      <c r="C39" s="238"/>
      <c r="D39" s="238">
        <v>1</v>
      </c>
      <c r="E39" s="238">
        <v>1</v>
      </c>
      <c r="G39" s="237">
        <v>9.3000000000000007</v>
      </c>
      <c r="H39" s="238">
        <v>1</v>
      </c>
      <c r="I39" s="238"/>
      <c r="J39" s="238">
        <v>2</v>
      </c>
      <c r="K39" s="238">
        <v>3</v>
      </c>
    </row>
    <row r="40" spans="1:11" x14ac:dyDescent="0.2">
      <c r="A40" s="237">
        <v>9.4</v>
      </c>
      <c r="B40" s="238"/>
      <c r="C40" s="238"/>
      <c r="D40" s="238">
        <v>1</v>
      </c>
      <c r="E40" s="238">
        <v>1</v>
      </c>
      <c r="G40" s="237">
        <v>9.4</v>
      </c>
      <c r="H40" s="238"/>
      <c r="I40" s="238"/>
      <c r="J40" s="238">
        <v>1</v>
      </c>
      <c r="K40" s="238">
        <v>1</v>
      </c>
    </row>
    <row r="41" spans="1:11" x14ac:dyDescent="0.2">
      <c r="A41" s="237">
        <v>10.1</v>
      </c>
      <c r="B41" s="238">
        <v>2</v>
      </c>
      <c r="C41" s="238"/>
      <c r="D41" s="238"/>
      <c r="E41" s="238">
        <v>2</v>
      </c>
      <c r="G41" s="237">
        <v>10.1</v>
      </c>
      <c r="H41" s="238">
        <v>2</v>
      </c>
      <c r="I41" s="238"/>
      <c r="J41" s="238"/>
      <c r="K41" s="238">
        <v>2</v>
      </c>
    </row>
    <row r="42" spans="1:11" x14ac:dyDescent="0.2">
      <c r="A42" s="237">
        <v>10.199999999999999</v>
      </c>
      <c r="B42" s="238">
        <v>2</v>
      </c>
      <c r="C42" s="238"/>
      <c r="D42" s="238"/>
      <c r="E42" s="238">
        <v>2</v>
      </c>
      <c r="G42" s="237">
        <v>10.199999999999999</v>
      </c>
      <c r="H42" s="238">
        <v>2</v>
      </c>
      <c r="I42" s="238"/>
      <c r="J42" s="238"/>
      <c r="K42" s="238">
        <v>2</v>
      </c>
    </row>
    <row r="43" spans="1:11" x14ac:dyDescent="0.2">
      <c r="A43" s="237">
        <v>11.1</v>
      </c>
      <c r="B43" s="238">
        <v>1</v>
      </c>
      <c r="C43" s="238"/>
      <c r="D43" s="238">
        <v>2</v>
      </c>
      <c r="E43" s="238">
        <v>3</v>
      </c>
      <c r="G43" s="237">
        <v>11.1</v>
      </c>
      <c r="H43" s="238">
        <v>1</v>
      </c>
      <c r="I43" s="238"/>
      <c r="J43" s="238">
        <v>2</v>
      </c>
      <c r="K43" s="238">
        <v>3</v>
      </c>
    </row>
    <row r="44" spans="1:11" x14ac:dyDescent="0.2">
      <c r="A44" s="237">
        <v>11.2</v>
      </c>
      <c r="B44" s="238">
        <v>2</v>
      </c>
      <c r="C44" s="238"/>
      <c r="D44" s="238">
        <v>2</v>
      </c>
      <c r="E44" s="238">
        <v>4</v>
      </c>
      <c r="G44" s="237">
        <v>11.2</v>
      </c>
      <c r="H44" s="238">
        <v>2</v>
      </c>
      <c r="I44" s="238"/>
      <c r="J44" s="238">
        <v>2</v>
      </c>
      <c r="K44" s="238">
        <v>4</v>
      </c>
    </row>
    <row r="45" spans="1:11" x14ac:dyDescent="0.2">
      <c r="A45" s="237">
        <v>12.1</v>
      </c>
      <c r="B45" s="238">
        <v>4</v>
      </c>
      <c r="C45" s="238">
        <v>5</v>
      </c>
      <c r="D45" s="238">
        <v>3</v>
      </c>
      <c r="E45" s="238">
        <v>12</v>
      </c>
      <c r="G45" s="237">
        <v>12.1</v>
      </c>
      <c r="H45" s="238">
        <v>4</v>
      </c>
      <c r="I45" s="238">
        <v>5</v>
      </c>
      <c r="J45" s="238">
        <v>3</v>
      </c>
      <c r="K45" s="238">
        <v>12</v>
      </c>
    </row>
    <row r="46" spans="1:11" x14ac:dyDescent="0.2">
      <c r="A46" s="237">
        <v>12.2</v>
      </c>
      <c r="B46" s="238">
        <v>4</v>
      </c>
      <c r="C46" s="238"/>
      <c r="D46" s="238">
        <v>1</v>
      </c>
      <c r="E46" s="238">
        <v>5</v>
      </c>
      <c r="G46" s="237">
        <v>12.2</v>
      </c>
      <c r="H46" s="238">
        <v>8</v>
      </c>
      <c r="I46" s="238"/>
      <c r="J46" s="238">
        <v>1</v>
      </c>
      <c r="K46" s="238">
        <v>9</v>
      </c>
    </row>
    <row r="47" spans="1:11" x14ac:dyDescent="0.2">
      <c r="A47" s="237">
        <v>12.3</v>
      </c>
      <c r="B47" s="238">
        <v>3</v>
      </c>
      <c r="C47" s="238"/>
      <c r="D47" s="238">
        <v>2</v>
      </c>
      <c r="E47" s="238">
        <v>5</v>
      </c>
      <c r="G47" s="237">
        <v>12.3</v>
      </c>
      <c r="H47" s="238">
        <v>3</v>
      </c>
      <c r="I47" s="238"/>
      <c r="J47" s="238">
        <v>2</v>
      </c>
      <c r="K47" s="238">
        <v>5</v>
      </c>
    </row>
    <row r="48" spans="1:11" x14ac:dyDescent="0.2">
      <c r="A48" s="237">
        <v>12.4</v>
      </c>
      <c r="B48" s="238">
        <v>2</v>
      </c>
      <c r="C48" s="238"/>
      <c r="D48" s="238">
        <v>1</v>
      </c>
      <c r="E48" s="238">
        <v>3</v>
      </c>
      <c r="G48" s="237">
        <v>12.4</v>
      </c>
      <c r="H48" s="238">
        <v>4</v>
      </c>
      <c r="I48" s="238"/>
      <c r="J48" s="238">
        <v>3</v>
      </c>
      <c r="K48" s="238">
        <v>7</v>
      </c>
    </row>
    <row r="49" spans="1:11" x14ac:dyDescent="0.2">
      <c r="A49" s="237">
        <v>13.1</v>
      </c>
      <c r="B49" s="238"/>
      <c r="C49" s="238">
        <v>1</v>
      </c>
      <c r="D49" s="238">
        <v>3</v>
      </c>
      <c r="E49" s="238">
        <v>4</v>
      </c>
      <c r="G49" s="237">
        <v>13.1</v>
      </c>
      <c r="H49" s="238"/>
      <c r="I49" s="238">
        <v>1</v>
      </c>
      <c r="J49" s="238">
        <v>3</v>
      </c>
      <c r="K49" s="238">
        <v>4</v>
      </c>
    </row>
    <row r="50" spans="1:11" x14ac:dyDescent="0.2">
      <c r="A50" s="237">
        <v>13.2</v>
      </c>
      <c r="B50" s="238"/>
      <c r="C50" s="238">
        <v>1</v>
      </c>
      <c r="D50" s="238">
        <v>3</v>
      </c>
      <c r="E50" s="238">
        <v>4</v>
      </c>
      <c r="G50" s="237">
        <v>13.2</v>
      </c>
      <c r="H50" s="238"/>
      <c r="I50" s="238">
        <v>1</v>
      </c>
      <c r="J50" s="238">
        <v>3</v>
      </c>
      <c r="K50" s="238">
        <v>4</v>
      </c>
    </row>
    <row r="51" spans="1:11" x14ac:dyDescent="0.2">
      <c r="A51" s="237">
        <v>13.3</v>
      </c>
      <c r="B51" s="238"/>
      <c r="C51" s="238">
        <v>1</v>
      </c>
      <c r="D51" s="238">
        <v>1</v>
      </c>
      <c r="E51" s="238">
        <v>2</v>
      </c>
      <c r="G51" s="237">
        <v>13.3</v>
      </c>
      <c r="H51" s="238"/>
      <c r="I51" s="238">
        <v>1</v>
      </c>
      <c r="J51" s="238">
        <v>1</v>
      </c>
      <c r="K51" s="238">
        <v>2</v>
      </c>
    </row>
    <row r="52" spans="1:11" x14ac:dyDescent="0.2">
      <c r="A52" s="237">
        <v>13.4</v>
      </c>
      <c r="B52" s="238">
        <v>2</v>
      </c>
      <c r="C52" s="238">
        <v>1</v>
      </c>
      <c r="D52" s="238">
        <v>3</v>
      </c>
      <c r="E52" s="238">
        <v>6</v>
      </c>
      <c r="G52" s="237">
        <v>13.4</v>
      </c>
      <c r="H52" s="238">
        <v>3</v>
      </c>
      <c r="I52" s="238">
        <v>1</v>
      </c>
      <c r="J52" s="238">
        <v>5</v>
      </c>
      <c r="K52" s="238">
        <v>9</v>
      </c>
    </row>
    <row r="53" spans="1:11" x14ac:dyDescent="0.2">
      <c r="A53" s="237">
        <v>13.5</v>
      </c>
      <c r="B53" s="238"/>
      <c r="C53" s="238"/>
      <c r="D53" s="238">
        <v>2</v>
      </c>
      <c r="E53" s="238">
        <v>2</v>
      </c>
      <c r="G53" s="237">
        <v>13.5</v>
      </c>
      <c r="H53" s="238"/>
      <c r="I53" s="238"/>
      <c r="J53" s="238">
        <v>2</v>
      </c>
      <c r="K53" s="238">
        <v>2</v>
      </c>
    </row>
    <row r="54" spans="1:11" x14ac:dyDescent="0.2">
      <c r="A54" s="237">
        <v>13.6</v>
      </c>
      <c r="B54" s="238">
        <v>1</v>
      </c>
      <c r="C54" s="238">
        <v>1</v>
      </c>
      <c r="D54" s="238">
        <v>2</v>
      </c>
      <c r="E54" s="238">
        <v>4</v>
      </c>
      <c r="G54" s="237">
        <v>13.6</v>
      </c>
      <c r="H54" s="238">
        <v>1</v>
      </c>
      <c r="I54" s="238">
        <v>1</v>
      </c>
      <c r="J54" s="238">
        <v>2</v>
      </c>
      <c r="K54" s="238">
        <v>4</v>
      </c>
    </row>
    <row r="55" spans="1:11" x14ac:dyDescent="0.2">
      <c r="A55" s="237">
        <v>13.7</v>
      </c>
      <c r="B55" s="238"/>
      <c r="C55" s="238">
        <v>1</v>
      </c>
      <c r="D55" s="238"/>
      <c r="E55" s="238">
        <v>1</v>
      </c>
      <c r="G55" s="237">
        <v>13.7</v>
      </c>
      <c r="H55" s="238"/>
      <c r="I55" s="238">
        <v>1</v>
      </c>
      <c r="J55" s="238"/>
      <c r="K55" s="238">
        <v>1</v>
      </c>
    </row>
    <row r="56" spans="1:11" x14ac:dyDescent="0.2">
      <c r="A56" s="237">
        <v>13.8</v>
      </c>
      <c r="B56" s="238"/>
      <c r="C56" s="238"/>
      <c r="D56" s="238">
        <v>3</v>
      </c>
      <c r="E56" s="238">
        <v>3</v>
      </c>
      <c r="G56" s="237">
        <v>13.8</v>
      </c>
      <c r="H56" s="238"/>
      <c r="I56" s="238"/>
      <c r="J56" s="238">
        <v>3</v>
      </c>
      <c r="K56" s="238">
        <v>3</v>
      </c>
    </row>
    <row r="57" spans="1:11" x14ac:dyDescent="0.2">
      <c r="A57" s="237">
        <v>13.9</v>
      </c>
      <c r="B57" s="238"/>
      <c r="C57" s="238"/>
      <c r="D57" s="238"/>
      <c r="E57" s="238"/>
      <c r="G57" s="237">
        <v>13.9</v>
      </c>
      <c r="H57" s="238">
        <v>5</v>
      </c>
      <c r="I57" s="238"/>
      <c r="J57" s="238">
        <v>3</v>
      </c>
      <c r="K57" s="238">
        <v>8</v>
      </c>
    </row>
    <row r="58" spans="1:11" x14ac:dyDescent="0.2">
      <c r="A58" s="237" t="s">
        <v>1095</v>
      </c>
      <c r="B58" s="238"/>
      <c r="C58" s="238">
        <v>1</v>
      </c>
      <c r="D58" s="238"/>
      <c r="E58" s="238">
        <v>1</v>
      </c>
      <c r="G58" s="237" t="s">
        <v>1095</v>
      </c>
      <c r="H58" s="238"/>
      <c r="I58" s="238">
        <v>1</v>
      </c>
      <c r="J58" s="238"/>
      <c r="K58" s="238">
        <v>1</v>
      </c>
    </row>
    <row r="59" spans="1:11" x14ac:dyDescent="0.2">
      <c r="A59" s="237" t="s">
        <v>1099</v>
      </c>
      <c r="B59" s="238"/>
      <c r="C59" s="238">
        <v>1</v>
      </c>
      <c r="D59" s="238">
        <v>4</v>
      </c>
      <c r="E59" s="238">
        <v>5</v>
      </c>
      <c r="G59" s="237" t="s">
        <v>1099</v>
      </c>
      <c r="H59" s="238"/>
      <c r="I59" s="238">
        <v>1</v>
      </c>
      <c r="J59" s="238">
        <v>4</v>
      </c>
      <c r="K59" s="238">
        <v>5</v>
      </c>
    </row>
    <row r="60" spans="1:11" x14ac:dyDescent="0.2">
      <c r="A60" s="237" t="s">
        <v>1158</v>
      </c>
      <c r="B60" s="238">
        <v>1</v>
      </c>
      <c r="C60" s="238"/>
      <c r="D60" s="238">
        <v>1</v>
      </c>
      <c r="E60" s="238">
        <v>2</v>
      </c>
      <c r="G60" s="237" t="s">
        <v>1158</v>
      </c>
      <c r="H60" s="238">
        <v>1</v>
      </c>
      <c r="I60" s="238"/>
      <c r="J60" s="238">
        <v>1</v>
      </c>
      <c r="K60" s="238">
        <v>2</v>
      </c>
    </row>
    <row r="61" spans="1:11" x14ac:dyDescent="0.2">
      <c r="A61" s="237" t="s">
        <v>1106</v>
      </c>
      <c r="B61" s="238"/>
      <c r="C61" s="238"/>
      <c r="D61" s="238">
        <v>3</v>
      </c>
      <c r="E61" s="238">
        <v>3</v>
      </c>
      <c r="G61" s="237" t="s">
        <v>1106</v>
      </c>
      <c r="H61" s="238">
        <v>4</v>
      </c>
      <c r="I61" s="238"/>
      <c r="J61" s="238">
        <v>4</v>
      </c>
      <c r="K61" s="238">
        <v>8</v>
      </c>
    </row>
    <row r="62" spans="1:11" x14ac:dyDescent="0.2">
      <c r="A62" s="237" t="s">
        <v>1117</v>
      </c>
      <c r="B62" s="238"/>
      <c r="C62" s="238"/>
      <c r="D62" s="238">
        <v>1</v>
      </c>
      <c r="E62" s="238">
        <v>1</v>
      </c>
      <c r="G62" s="237" t="s">
        <v>1117</v>
      </c>
      <c r="H62" s="238"/>
      <c r="I62" s="238"/>
      <c r="J62" s="238">
        <v>2</v>
      </c>
      <c r="K62" s="238">
        <v>2</v>
      </c>
    </row>
    <row r="63" spans="1:11" x14ac:dyDescent="0.2">
      <c r="A63" s="237" t="s">
        <v>1121</v>
      </c>
      <c r="B63" s="238"/>
      <c r="C63" s="238"/>
      <c r="D63" s="238"/>
      <c r="E63" s="238"/>
      <c r="G63" s="237" t="s">
        <v>1121</v>
      </c>
      <c r="H63" s="238">
        <v>4</v>
      </c>
      <c r="I63" s="238"/>
      <c r="J63" s="238">
        <v>2</v>
      </c>
      <c r="K63" s="238">
        <v>6</v>
      </c>
    </row>
    <row r="64" spans="1:11" x14ac:dyDescent="0.2">
      <c r="A64" s="237" t="s">
        <v>1128</v>
      </c>
      <c r="B64" s="238"/>
      <c r="C64" s="238">
        <v>1</v>
      </c>
      <c r="D64" s="238">
        <v>2</v>
      </c>
      <c r="E64" s="238">
        <v>3</v>
      </c>
      <c r="G64" s="237" t="s">
        <v>1128</v>
      </c>
      <c r="H64" s="238"/>
      <c r="I64" s="238">
        <v>1</v>
      </c>
      <c r="J64" s="238">
        <v>2</v>
      </c>
      <c r="K64" s="238">
        <v>3</v>
      </c>
    </row>
    <row r="65" spans="1:11" x14ac:dyDescent="0.2">
      <c r="A65" s="237" t="s">
        <v>1134</v>
      </c>
      <c r="B65" s="238">
        <v>1</v>
      </c>
      <c r="C65" s="238">
        <v>6</v>
      </c>
      <c r="D65" s="238">
        <v>1</v>
      </c>
      <c r="E65" s="238">
        <v>8</v>
      </c>
      <c r="G65" s="237" t="s">
        <v>1134</v>
      </c>
      <c r="H65" s="238">
        <v>1</v>
      </c>
      <c r="I65" s="238">
        <v>6</v>
      </c>
      <c r="J65" s="238">
        <v>1</v>
      </c>
      <c r="K65" s="238">
        <v>8</v>
      </c>
    </row>
    <row r="66" spans="1:11" x14ac:dyDescent="0.2">
      <c r="A66" s="237" t="s">
        <v>1145</v>
      </c>
      <c r="B66" s="238">
        <v>1</v>
      </c>
      <c r="C66" s="238"/>
      <c r="D66" s="238">
        <v>3</v>
      </c>
      <c r="E66" s="238">
        <v>4</v>
      </c>
      <c r="G66" s="237" t="s">
        <v>1145</v>
      </c>
      <c r="H66" s="238">
        <v>1</v>
      </c>
      <c r="I66" s="238"/>
      <c r="J66" s="238">
        <v>3</v>
      </c>
      <c r="K66" s="238">
        <v>4</v>
      </c>
    </row>
    <row r="67" spans="1:11" x14ac:dyDescent="0.2">
      <c r="A67" s="237" t="s">
        <v>1150</v>
      </c>
      <c r="B67" s="238"/>
      <c r="C67" s="238"/>
      <c r="D67" s="238">
        <v>1</v>
      </c>
      <c r="E67" s="238">
        <v>1</v>
      </c>
      <c r="G67" s="237" t="s">
        <v>1150</v>
      </c>
      <c r="H67" s="238"/>
      <c r="I67" s="238"/>
      <c r="J67" s="238">
        <v>1</v>
      </c>
      <c r="K67" s="238">
        <v>1</v>
      </c>
    </row>
    <row r="68" spans="1:11" x14ac:dyDescent="0.2">
      <c r="A68" s="237" t="s">
        <v>1153</v>
      </c>
      <c r="B68" s="238"/>
      <c r="C68" s="238"/>
      <c r="D68" s="238"/>
      <c r="E68" s="238"/>
      <c r="G68" s="237" t="s">
        <v>1153</v>
      </c>
      <c r="H68" s="238"/>
      <c r="I68" s="238"/>
      <c r="J68" s="238">
        <v>1</v>
      </c>
      <c r="K68" s="238">
        <v>1</v>
      </c>
    </row>
    <row r="69" spans="1:11" x14ac:dyDescent="0.2">
      <c r="A69" s="237" t="s">
        <v>1166</v>
      </c>
      <c r="B69" s="238">
        <v>4</v>
      </c>
      <c r="C69" s="238"/>
      <c r="D69" s="238"/>
      <c r="E69" s="238">
        <v>4</v>
      </c>
      <c r="G69" s="237" t="s">
        <v>1166</v>
      </c>
      <c r="H69" s="238">
        <v>7</v>
      </c>
      <c r="I69" s="238"/>
      <c r="J69" s="238">
        <v>1</v>
      </c>
      <c r="K69" s="238">
        <v>8</v>
      </c>
    </row>
    <row r="70" spans="1:11" x14ac:dyDescent="0.2">
      <c r="A70" s="237" t="s">
        <v>1177</v>
      </c>
      <c r="B70" s="238">
        <v>2</v>
      </c>
      <c r="C70" s="238"/>
      <c r="D70" s="238">
        <v>3</v>
      </c>
      <c r="E70" s="238">
        <v>5</v>
      </c>
      <c r="G70" s="237" t="s">
        <v>1177</v>
      </c>
      <c r="H70" s="238">
        <v>3</v>
      </c>
      <c r="I70" s="238"/>
      <c r="J70" s="238">
        <v>8</v>
      </c>
      <c r="K70" s="238">
        <v>11</v>
      </c>
    </row>
    <row r="71" spans="1:11" x14ac:dyDescent="0.2">
      <c r="A71" s="237" t="s">
        <v>1191</v>
      </c>
      <c r="B71" s="238">
        <v>2</v>
      </c>
      <c r="C71" s="238">
        <v>1</v>
      </c>
      <c r="D71" s="238">
        <v>7</v>
      </c>
      <c r="E71" s="238">
        <v>10</v>
      </c>
      <c r="G71" s="237" t="s">
        <v>1191</v>
      </c>
      <c r="H71" s="238">
        <v>3</v>
      </c>
      <c r="I71" s="238">
        <v>1</v>
      </c>
      <c r="J71" s="238">
        <v>8</v>
      </c>
      <c r="K71" s="238">
        <v>12</v>
      </c>
    </row>
    <row r="72" spans="1:11" x14ac:dyDescent="0.2">
      <c r="A72" s="237" t="s">
        <v>1206</v>
      </c>
      <c r="B72" s="238"/>
      <c r="C72" s="238">
        <v>1</v>
      </c>
      <c r="D72" s="238">
        <v>4</v>
      </c>
      <c r="E72" s="238">
        <v>5</v>
      </c>
      <c r="G72" s="237" t="s">
        <v>1206</v>
      </c>
      <c r="H72" s="238"/>
      <c r="I72" s="238">
        <v>1</v>
      </c>
      <c r="J72" s="238">
        <v>4</v>
      </c>
      <c r="K72" s="238">
        <v>5</v>
      </c>
    </row>
    <row r="73" spans="1:11" x14ac:dyDescent="0.2">
      <c r="A73" s="237" t="s">
        <v>1212</v>
      </c>
      <c r="B73" s="238"/>
      <c r="C73" s="238"/>
      <c r="D73" s="238">
        <v>5</v>
      </c>
      <c r="E73" s="238">
        <v>5</v>
      </c>
      <c r="G73" s="237" t="s">
        <v>1212</v>
      </c>
      <c r="H73" s="238"/>
      <c r="I73" s="238"/>
      <c r="J73" s="238">
        <v>6</v>
      </c>
      <c r="K73" s="238">
        <v>6</v>
      </c>
    </row>
    <row r="74" spans="1:11" x14ac:dyDescent="0.2">
      <c r="A74" s="237" t="s">
        <v>1220</v>
      </c>
      <c r="B74" s="238">
        <v>3</v>
      </c>
      <c r="C74" s="238">
        <v>1</v>
      </c>
      <c r="D74" s="238">
        <v>4</v>
      </c>
      <c r="E74" s="238">
        <v>8</v>
      </c>
      <c r="G74" s="237" t="s">
        <v>1220</v>
      </c>
      <c r="H74" s="238">
        <v>3</v>
      </c>
      <c r="I74" s="238">
        <v>1</v>
      </c>
      <c r="J74" s="238">
        <v>4</v>
      </c>
      <c r="K74" s="238">
        <v>8</v>
      </c>
    </row>
    <row r="75" spans="1:11" x14ac:dyDescent="0.2">
      <c r="A75" s="237" t="s">
        <v>1229</v>
      </c>
      <c r="B75" s="238">
        <v>1</v>
      </c>
      <c r="C75" s="238"/>
      <c r="D75" s="238">
        <v>1</v>
      </c>
      <c r="E75" s="238">
        <v>2</v>
      </c>
      <c r="G75" s="237" t="s">
        <v>1229</v>
      </c>
      <c r="H75" s="238">
        <v>1</v>
      </c>
      <c r="I75" s="238"/>
      <c r="J75" s="238">
        <v>1</v>
      </c>
      <c r="K75" s="238">
        <v>2</v>
      </c>
    </row>
    <row r="76" spans="1:11" x14ac:dyDescent="0.2">
      <c r="A76" s="237" t="s">
        <v>1233</v>
      </c>
      <c r="B76" s="238">
        <v>3</v>
      </c>
      <c r="C76" s="238"/>
      <c r="D76" s="238">
        <v>3</v>
      </c>
      <c r="E76" s="238">
        <v>6</v>
      </c>
      <c r="G76" s="237" t="s">
        <v>1233</v>
      </c>
      <c r="H76" s="238">
        <v>3</v>
      </c>
      <c r="I76" s="238"/>
      <c r="J76" s="238">
        <v>3</v>
      </c>
      <c r="K76" s="238">
        <v>6</v>
      </c>
    </row>
    <row r="77" spans="1:11" x14ac:dyDescent="0.2">
      <c r="A77" s="237" t="s">
        <v>1241</v>
      </c>
      <c r="B77" s="238">
        <v>1</v>
      </c>
      <c r="C77" s="238"/>
      <c r="D77" s="238">
        <v>2</v>
      </c>
      <c r="E77" s="238">
        <v>3</v>
      </c>
      <c r="G77" s="237" t="s">
        <v>1241</v>
      </c>
      <c r="H77" s="238">
        <v>6</v>
      </c>
      <c r="I77" s="238"/>
      <c r="J77" s="238">
        <v>2</v>
      </c>
      <c r="K77" s="238">
        <v>8</v>
      </c>
    </row>
    <row r="78" spans="1:11" x14ac:dyDescent="0.2">
      <c r="A78" s="237" t="s">
        <v>1251</v>
      </c>
      <c r="B78" s="238">
        <v>1</v>
      </c>
      <c r="C78" s="238"/>
      <c r="D78" s="238">
        <v>2</v>
      </c>
      <c r="E78" s="238">
        <v>3</v>
      </c>
      <c r="G78" s="237" t="s">
        <v>1251</v>
      </c>
      <c r="H78" s="238">
        <v>6</v>
      </c>
      <c r="I78" s="238"/>
      <c r="J78" s="238">
        <v>2</v>
      </c>
      <c r="K78" s="238">
        <v>8</v>
      </c>
    </row>
    <row r="79" spans="1:11" x14ac:dyDescent="0.2">
      <c r="A79" s="237" t="s">
        <v>1261</v>
      </c>
      <c r="B79" s="238">
        <v>2</v>
      </c>
      <c r="C79" s="238"/>
      <c r="D79" s="238">
        <v>1</v>
      </c>
      <c r="E79" s="238">
        <v>3</v>
      </c>
      <c r="G79" s="237" t="s">
        <v>1261</v>
      </c>
      <c r="H79" s="238">
        <v>2</v>
      </c>
      <c r="I79" s="238"/>
      <c r="J79" s="238">
        <v>1</v>
      </c>
      <c r="K79" s="238">
        <v>3</v>
      </c>
    </row>
    <row r="80" spans="1:11" x14ac:dyDescent="0.2">
      <c r="A80" s="237" t="s">
        <v>1266</v>
      </c>
      <c r="B80" s="238"/>
      <c r="C80" s="238"/>
      <c r="D80" s="238">
        <v>1</v>
      </c>
      <c r="E80" s="238">
        <v>1</v>
      </c>
      <c r="G80" s="237" t="s">
        <v>1266</v>
      </c>
      <c r="H80" s="238">
        <v>7</v>
      </c>
      <c r="I80" s="238"/>
      <c r="J80" s="238">
        <v>1</v>
      </c>
      <c r="K80" s="238">
        <v>8</v>
      </c>
    </row>
    <row r="81" spans="1:11" x14ac:dyDescent="0.2">
      <c r="A81" s="237" t="s">
        <v>1548</v>
      </c>
      <c r="B81" s="238">
        <v>125</v>
      </c>
      <c r="C81" s="238">
        <v>53</v>
      </c>
      <c r="D81" s="238">
        <v>157</v>
      </c>
      <c r="E81" s="238">
        <v>335</v>
      </c>
      <c r="G81" s="237" t="s">
        <v>1548</v>
      </c>
      <c r="H81" s="238">
        <v>193</v>
      </c>
      <c r="I81" s="238">
        <v>55</v>
      </c>
      <c r="J81" s="238">
        <v>194</v>
      </c>
      <c r="K81" s="238">
        <v>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724abd4dfc7a35318ea0d542619d4be3">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c92e7d3327a09918a261a8072aea0b7c"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E4CA4F-BEC6-458C-9180-3BC14E020E31}">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http://purl.org/dc/elements/1.1/"/>
    <ds:schemaRef ds:uri="http://schemas.openxmlformats.org/package/2006/metadata/core-properties"/>
    <ds:schemaRef ds:uri="a7c7841c-6cc5-4d1c-af52-fbbf47b3c26e"/>
  </ds:schemaRefs>
</ds:datastoreItem>
</file>

<file path=customXml/itemProps2.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3.xml><?xml version="1.0" encoding="utf-8"?>
<ds:datastoreItem xmlns:ds="http://schemas.openxmlformats.org/officeDocument/2006/customXml" ds:itemID="{30185898-82F7-4C7A-B661-67B2246287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Guidance</vt:lpstr>
      <vt:lpstr>ISO27001</vt:lpstr>
      <vt:lpstr>Security Posture (ISO27001)</vt:lpstr>
      <vt:lpstr>SLC Cyber Risk Register</vt:lpstr>
      <vt:lpstr>CRF Workbook</vt:lpstr>
      <vt:lpstr>Subcategory Summary</vt:lpstr>
      <vt:lpstr>Category Summary</vt:lpstr>
      <vt:lpstr>CRF Security Posture</vt:lpstr>
      <vt:lpstr>Completion Tracking</vt:lpstr>
      <vt:lpstr>Sub Risk Calc</vt:lpstr>
      <vt:lpstr>CRF Risk View</vt:lpstr>
      <vt:lpstr>Risk Summary</vt:lpstr>
      <vt:lpstr>Severity Matrix</vt:lpstr>
      <vt:lpstr>Likelihood and Impact Criteria</vt:lpstr>
      <vt:lpstr>Ten Steps</vt:lpstr>
      <vt:lpstr>'CRF Workbook'!_Toc44695750</vt:lpstr>
      <vt:lpstr>'CRF Workbook'!_Toc44695785</vt:lpstr>
      <vt:lpstr>'CRF Workbook'!_Toc44695800</vt:lpstr>
      <vt:lpstr>'Subcategory Summary'!period_selected</vt:lpstr>
      <vt:lpstr>period_selected</vt:lpstr>
      <vt:lpstr>'ISO27001'!Print_Titles</vt:lpstr>
      <vt:lpstr>'Subcategory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Paddy Feechan</cp:lastModifiedBy>
  <cp:revision/>
  <dcterms:created xsi:type="dcterms:W3CDTF">2016-12-05T05:14:59Z</dcterms:created>
  <dcterms:modified xsi:type="dcterms:W3CDTF">2026-02-04T14:31:52Z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